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chartsheets/sheet2.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0730" windowHeight="11760" tabRatio="825"/>
  </bookViews>
  <sheets>
    <sheet name="Raw Data" sheetId="7" r:id="rId1"/>
    <sheet name="Parameters" sheetId="1" r:id="rId2"/>
    <sheet name="Projection" sheetId="3" r:id="rId3"/>
    <sheet name="Projection statistics" sheetId="16" r:id="rId4"/>
    <sheet name="Percentile projection chart" sheetId="13" r:id="rId5"/>
    <sheet name="Return distribution chart" sheetId="14" r:id="rId6"/>
    <sheet name="Checks" sheetId="8" r:id="rId7"/>
    <sheet name="Audit trail" sheetId="9" r:id="rId8"/>
    <sheet name="Marking Schedule" sheetId="6" r:id="rId9"/>
  </sheets>
  <definedNames>
    <definedName name="_xlnm._FilterDatabase" localSheetId="3" hidden="1">'Projection statistics'!$C$5:$D$105</definedName>
    <definedName name="Audit" localSheetId="8">'Marking Schedule'!$B$43</definedName>
    <definedName name="AuditApproach" localSheetId="8">'Marking Schedule'!$B$3</definedName>
    <definedName name="DistributionRange">Parameters!$D$13:$E$19</definedName>
    <definedName name="IndepWork" localSheetId="8">'Marking Schedule'!$K$182</definedName>
    <definedName name="NumberSims">Parameters!$D$9</definedName>
    <definedName name="ProjectionLengthYears">Parameters!$D$7</definedName>
    <definedName name="ReturnData">'Raw Data'!$D$9:$M$108</definedName>
    <definedName name="StartAssetValue">Parameters!$D$5</definedName>
    <definedName name="SummaryDescrApproach" localSheetId="8">'Marking Schedule'!$K$3</definedName>
    <definedName name="SummaryDrafting" localSheetId="8">'Marking Schedule'!$K$177</definedName>
  </definedNames>
  <calcPr calcId="125725" calcOnSave="0"/>
</workbook>
</file>

<file path=xl/calcChain.xml><?xml version="1.0" encoding="utf-8"?>
<calcChain xmlns="http://schemas.openxmlformats.org/spreadsheetml/2006/main">
  <c r="B43" i="6"/>
  <c r="B139"/>
  <c r="B25" l="1"/>
  <c r="D26" i="8" l="1"/>
  <c r="D27"/>
  <c r="D28"/>
  <c r="D29"/>
  <c r="D30"/>
  <c r="D31"/>
  <c r="D32"/>
  <c r="D33"/>
  <c r="D34"/>
  <c r="D35"/>
  <c r="D36"/>
  <c r="D25"/>
  <c r="D24"/>
  <c r="D20"/>
  <c r="D16"/>
  <c r="D14"/>
  <c r="D12"/>
  <c r="D18"/>
  <c r="B151" i="6" l="1"/>
  <c r="B20"/>
  <c r="B3" s="1"/>
  <c r="B92" l="1"/>
  <c r="B86" s="1"/>
  <c r="B68"/>
  <c r="E7" i="8" l="1"/>
  <c r="E9"/>
  <c r="D9"/>
  <c r="D7"/>
  <c r="J16" i="16"/>
  <c r="AG14"/>
  <c r="AG13"/>
  <c r="AG12"/>
  <c r="J12"/>
  <c r="AG11"/>
  <c r="AG10"/>
  <c r="AG9"/>
  <c r="AG8"/>
  <c r="AF8"/>
  <c r="E66" i="8" s="1"/>
  <c r="C5" i="16"/>
  <c r="D19" i="1"/>
  <c r="AF14" i="16" s="1"/>
  <c r="E72" i="8" s="1"/>
  <c r="D18" i="1"/>
  <c r="AF13" i="16" s="1"/>
  <c r="E71" i="8" s="1"/>
  <c r="D17" i="1"/>
  <c r="AF12" i="16" s="1"/>
  <c r="E70" i="8" s="1"/>
  <c r="D16" i="1"/>
  <c r="AF11" i="16" s="1"/>
  <c r="D15" i="1"/>
  <c r="AF10" i="16" s="1"/>
  <c r="E68" i="8" s="1"/>
  <c r="D14" i="1"/>
  <c r="AF9" i="16" s="1"/>
  <c r="AE9" l="1"/>
  <c r="E67" i="8"/>
  <c r="AE11" i="16"/>
  <c r="E69" i="8"/>
  <c r="AE13" i="16"/>
  <c r="F7" i="8"/>
  <c r="AE12" i="16"/>
  <c r="AE14"/>
  <c r="F9" i="8"/>
  <c r="AE10" i="16"/>
  <c r="AE8"/>
  <c r="D49" i="8" l="1"/>
  <c r="B137" i="6" l="1"/>
  <c r="F1" s="1"/>
  <c r="D106" i="3"/>
  <c r="E106" s="1"/>
  <c r="F106" s="1"/>
  <c r="G106" s="1"/>
  <c r="H106" s="1"/>
  <c r="I106" s="1"/>
  <c r="J106" s="1"/>
  <c r="K106" s="1"/>
  <c r="L106" s="1"/>
  <c r="M106" s="1"/>
  <c r="N106" s="1"/>
  <c r="C105" i="16" s="1"/>
  <c r="D105" i="3"/>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E8" s="1"/>
  <c r="F8" s="1"/>
  <c r="G8" s="1"/>
  <c r="H8" s="1"/>
  <c r="I8" s="1"/>
  <c r="J8" s="1"/>
  <c r="K8" s="1"/>
  <c r="L8" s="1"/>
  <c r="M8" s="1"/>
  <c r="N8" s="1"/>
  <c r="C7" i="16" s="1"/>
  <c r="D7" s="1"/>
  <c r="D7" i="3"/>
  <c r="C8"/>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D105" i="16" l="1"/>
  <c r="E7" i="3"/>
  <c r="K14" i="16"/>
  <c r="K8"/>
  <c r="K9"/>
  <c r="K18"/>
  <c r="K10"/>
  <c r="K15"/>
  <c r="K11"/>
  <c r="K7"/>
  <c r="E10" i="3"/>
  <c r="F10" s="1"/>
  <c r="G10" s="1"/>
  <c r="H10" s="1"/>
  <c r="I10" s="1"/>
  <c r="J10" s="1"/>
  <c r="K10" s="1"/>
  <c r="L10" s="1"/>
  <c r="M10" s="1"/>
  <c r="N10" s="1"/>
  <c r="C9" i="16" s="1"/>
  <c r="D9" s="1"/>
  <c r="E18" i="3"/>
  <c r="F18" s="1"/>
  <c r="G18" s="1"/>
  <c r="H18" s="1"/>
  <c r="I18" s="1"/>
  <c r="J18" s="1"/>
  <c r="K18" s="1"/>
  <c r="L18" s="1"/>
  <c r="M18" s="1"/>
  <c r="N18" s="1"/>
  <c r="C17" i="16" s="1"/>
  <c r="D17" s="1"/>
  <c r="E26" i="3"/>
  <c r="F26" s="1"/>
  <c r="G26" s="1"/>
  <c r="H26" s="1"/>
  <c r="I26" s="1"/>
  <c r="J26" s="1"/>
  <c r="K26" s="1"/>
  <c r="L26" s="1"/>
  <c r="M26" s="1"/>
  <c r="N26" s="1"/>
  <c r="C25" i="16" s="1"/>
  <c r="D25" s="1"/>
  <c r="E30" i="3"/>
  <c r="F30" s="1"/>
  <c r="G30" s="1"/>
  <c r="H30" s="1"/>
  <c r="I30" s="1"/>
  <c r="J30" s="1"/>
  <c r="K30" s="1"/>
  <c r="L30" s="1"/>
  <c r="M30" s="1"/>
  <c r="N30" s="1"/>
  <c r="C29" i="16" s="1"/>
  <c r="D29" s="1"/>
  <c r="E38" i="3"/>
  <c r="F38" s="1"/>
  <c r="G38" s="1"/>
  <c r="H38" s="1"/>
  <c r="I38" s="1"/>
  <c r="J38" s="1"/>
  <c r="K38" s="1"/>
  <c r="L38" s="1"/>
  <c r="M38" s="1"/>
  <c r="N38" s="1"/>
  <c r="C37" i="16" s="1"/>
  <c r="D37" s="1"/>
  <c r="E42" i="3"/>
  <c r="F42" s="1"/>
  <c r="G42" s="1"/>
  <c r="H42" s="1"/>
  <c r="I42" s="1"/>
  <c r="J42" s="1"/>
  <c r="K42" s="1"/>
  <c r="L42" s="1"/>
  <c r="M42" s="1"/>
  <c r="N42" s="1"/>
  <c r="C41" i="16" s="1"/>
  <c r="D41" s="1"/>
  <c r="E46" i="3"/>
  <c r="F46" s="1"/>
  <c r="G46" s="1"/>
  <c r="H46" s="1"/>
  <c r="I46" s="1"/>
  <c r="J46" s="1"/>
  <c r="K46" s="1"/>
  <c r="L46" s="1"/>
  <c r="M46" s="1"/>
  <c r="N46" s="1"/>
  <c r="C45" i="16" s="1"/>
  <c r="D45" s="1"/>
  <c r="E50" i="3"/>
  <c r="F50" s="1"/>
  <c r="G50" s="1"/>
  <c r="H50" s="1"/>
  <c r="I50" s="1"/>
  <c r="J50" s="1"/>
  <c r="K50" s="1"/>
  <c r="L50" s="1"/>
  <c r="M50" s="1"/>
  <c r="N50" s="1"/>
  <c r="C49" i="16" s="1"/>
  <c r="D49" s="1"/>
  <c r="E54" i="3"/>
  <c r="F54" s="1"/>
  <c r="G54" s="1"/>
  <c r="H54" s="1"/>
  <c r="I54" s="1"/>
  <c r="J54" s="1"/>
  <c r="K54" s="1"/>
  <c r="L54" s="1"/>
  <c r="M54" s="1"/>
  <c r="N54" s="1"/>
  <c r="C53" i="16" s="1"/>
  <c r="D53" s="1"/>
  <c r="E58" i="3"/>
  <c r="F58" s="1"/>
  <c r="G58" s="1"/>
  <c r="H58" s="1"/>
  <c r="I58" s="1"/>
  <c r="J58" s="1"/>
  <c r="K58" s="1"/>
  <c r="L58" s="1"/>
  <c r="M58" s="1"/>
  <c r="N58" s="1"/>
  <c r="C57" i="16" s="1"/>
  <c r="D57" s="1"/>
  <c r="E62" i="3"/>
  <c r="F62" s="1"/>
  <c r="G62" s="1"/>
  <c r="H62" s="1"/>
  <c r="I62" s="1"/>
  <c r="J62" s="1"/>
  <c r="K62" s="1"/>
  <c r="L62" s="1"/>
  <c r="M62" s="1"/>
  <c r="N62" s="1"/>
  <c r="C61" i="16" s="1"/>
  <c r="D61" s="1"/>
  <c r="E66" i="3"/>
  <c r="F66" s="1"/>
  <c r="G66" s="1"/>
  <c r="H66" s="1"/>
  <c r="I66" s="1"/>
  <c r="J66" s="1"/>
  <c r="K66" s="1"/>
  <c r="L66" s="1"/>
  <c r="M66" s="1"/>
  <c r="N66" s="1"/>
  <c r="C65" i="16" s="1"/>
  <c r="D65" s="1"/>
  <c r="E70" i="3"/>
  <c r="F70" s="1"/>
  <c r="G70" s="1"/>
  <c r="H70" s="1"/>
  <c r="I70" s="1"/>
  <c r="J70" s="1"/>
  <c r="K70" s="1"/>
  <c r="L70" s="1"/>
  <c r="M70" s="1"/>
  <c r="N70" s="1"/>
  <c r="C69" i="16" s="1"/>
  <c r="D69" s="1"/>
  <c r="E74" i="3"/>
  <c r="F74" s="1"/>
  <c r="G74" s="1"/>
  <c r="H74" s="1"/>
  <c r="I74" s="1"/>
  <c r="J74" s="1"/>
  <c r="K74" s="1"/>
  <c r="L74" s="1"/>
  <c r="M74" s="1"/>
  <c r="N74" s="1"/>
  <c r="C73" i="16" s="1"/>
  <c r="D73" s="1"/>
  <c r="E78" i="3"/>
  <c r="F78" s="1"/>
  <c r="G78" s="1"/>
  <c r="H78" s="1"/>
  <c r="I78" s="1"/>
  <c r="J78" s="1"/>
  <c r="K78" s="1"/>
  <c r="L78" s="1"/>
  <c r="M78" s="1"/>
  <c r="N78" s="1"/>
  <c r="C77" i="16" s="1"/>
  <c r="D77" s="1"/>
  <c r="E82" i="3"/>
  <c r="F82" s="1"/>
  <c r="G82" s="1"/>
  <c r="H82" s="1"/>
  <c r="I82" s="1"/>
  <c r="J82" s="1"/>
  <c r="K82" s="1"/>
  <c r="L82" s="1"/>
  <c r="M82" s="1"/>
  <c r="N82" s="1"/>
  <c r="C81" i="16" s="1"/>
  <c r="D81" s="1"/>
  <c r="E86" i="3"/>
  <c r="F86" s="1"/>
  <c r="G86" s="1"/>
  <c r="H86" s="1"/>
  <c r="I86" s="1"/>
  <c r="J86" s="1"/>
  <c r="K86" s="1"/>
  <c r="L86" s="1"/>
  <c r="M86" s="1"/>
  <c r="N86" s="1"/>
  <c r="C85" i="16" s="1"/>
  <c r="D85" s="1"/>
  <c r="E90" i="3"/>
  <c r="F90" s="1"/>
  <c r="G90" s="1"/>
  <c r="H90" s="1"/>
  <c r="I90" s="1"/>
  <c r="J90" s="1"/>
  <c r="K90" s="1"/>
  <c r="L90" s="1"/>
  <c r="M90" s="1"/>
  <c r="N90" s="1"/>
  <c r="C89" i="16" s="1"/>
  <c r="D89" s="1"/>
  <c r="E94" i="3"/>
  <c r="F94" s="1"/>
  <c r="G94" s="1"/>
  <c r="H94" s="1"/>
  <c r="I94" s="1"/>
  <c r="J94" s="1"/>
  <c r="K94" s="1"/>
  <c r="L94" s="1"/>
  <c r="M94" s="1"/>
  <c r="N94" s="1"/>
  <c r="C93" i="16" s="1"/>
  <c r="D93" s="1"/>
  <c r="E98" i="3"/>
  <c r="F98" s="1"/>
  <c r="G98" s="1"/>
  <c r="H98" s="1"/>
  <c r="I98" s="1"/>
  <c r="J98" s="1"/>
  <c r="K98" s="1"/>
  <c r="L98" s="1"/>
  <c r="M98" s="1"/>
  <c r="N98" s="1"/>
  <c r="C97" i="16" s="1"/>
  <c r="D97" s="1"/>
  <c r="E102" i="3"/>
  <c r="F102" s="1"/>
  <c r="G102" s="1"/>
  <c r="H102" s="1"/>
  <c r="I102" s="1"/>
  <c r="J102" s="1"/>
  <c r="K102" s="1"/>
  <c r="L102" s="1"/>
  <c r="M102" s="1"/>
  <c r="N102" s="1"/>
  <c r="C101" i="16" s="1"/>
  <c r="D101" s="1"/>
  <c r="E11" i="3"/>
  <c r="F11" s="1"/>
  <c r="G11" s="1"/>
  <c r="H11" s="1"/>
  <c r="I11" s="1"/>
  <c r="J11" s="1"/>
  <c r="K11" s="1"/>
  <c r="L11" s="1"/>
  <c r="M11" s="1"/>
  <c r="N11" s="1"/>
  <c r="C10" i="16" s="1"/>
  <c r="D10" s="1"/>
  <c r="E15" i="3"/>
  <c r="F15" s="1"/>
  <c r="G15" s="1"/>
  <c r="H15" s="1"/>
  <c r="I15" s="1"/>
  <c r="J15" s="1"/>
  <c r="K15" s="1"/>
  <c r="L15" s="1"/>
  <c r="M15" s="1"/>
  <c r="N15" s="1"/>
  <c r="C14" i="16" s="1"/>
  <c r="D14" s="1"/>
  <c r="E19" i="3"/>
  <c r="F19" s="1"/>
  <c r="G19" s="1"/>
  <c r="H19" s="1"/>
  <c r="I19" s="1"/>
  <c r="J19" s="1"/>
  <c r="K19" s="1"/>
  <c r="L19" s="1"/>
  <c r="M19" s="1"/>
  <c r="N19" s="1"/>
  <c r="C18" i="16" s="1"/>
  <c r="D18" s="1"/>
  <c r="E23" i="3"/>
  <c r="F23" s="1"/>
  <c r="G23" s="1"/>
  <c r="H23" s="1"/>
  <c r="I23" s="1"/>
  <c r="J23" s="1"/>
  <c r="K23" s="1"/>
  <c r="L23" s="1"/>
  <c r="M23" s="1"/>
  <c r="N23" s="1"/>
  <c r="C22" i="16" s="1"/>
  <c r="D22" s="1"/>
  <c r="E27" i="3"/>
  <c r="F27" s="1"/>
  <c r="G27" s="1"/>
  <c r="H27" s="1"/>
  <c r="I27" s="1"/>
  <c r="J27" s="1"/>
  <c r="K27" s="1"/>
  <c r="L27" s="1"/>
  <c r="M27" s="1"/>
  <c r="N27" s="1"/>
  <c r="C26" i="16" s="1"/>
  <c r="D26" s="1"/>
  <c r="E31" i="3"/>
  <c r="F31" s="1"/>
  <c r="G31" s="1"/>
  <c r="H31" s="1"/>
  <c r="I31" s="1"/>
  <c r="J31" s="1"/>
  <c r="K31" s="1"/>
  <c r="L31" s="1"/>
  <c r="M31" s="1"/>
  <c r="N31" s="1"/>
  <c r="C30" i="16" s="1"/>
  <c r="D30" s="1"/>
  <c r="E35" i="3"/>
  <c r="F35" s="1"/>
  <c r="G35" s="1"/>
  <c r="H35" s="1"/>
  <c r="I35" s="1"/>
  <c r="J35" s="1"/>
  <c r="K35" s="1"/>
  <c r="L35" s="1"/>
  <c r="M35" s="1"/>
  <c r="N35" s="1"/>
  <c r="C34" i="16" s="1"/>
  <c r="D34" s="1"/>
  <c r="E39" i="3"/>
  <c r="F39" s="1"/>
  <c r="G39" s="1"/>
  <c r="H39" s="1"/>
  <c r="I39" s="1"/>
  <c r="J39" s="1"/>
  <c r="K39" s="1"/>
  <c r="L39" s="1"/>
  <c r="M39" s="1"/>
  <c r="N39" s="1"/>
  <c r="C38" i="16" s="1"/>
  <c r="D38" s="1"/>
  <c r="E43" i="3"/>
  <c r="F43" s="1"/>
  <c r="G43" s="1"/>
  <c r="H43" s="1"/>
  <c r="I43" s="1"/>
  <c r="J43" s="1"/>
  <c r="K43" s="1"/>
  <c r="L43" s="1"/>
  <c r="M43" s="1"/>
  <c r="N43" s="1"/>
  <c r="C42" i="16" s="1"/>
  <c r="D42" s="1"/>
  <c r="E47" i="3"/>
  <c r="F47" s="1"/>
  <c r="G47" s="1"/>
  <c r="H47" s="1"/>
  <c r="I47" s="1"/>
  <c r="J47" s="1"/>
  <c r="K47" s="1"/>
  <c r="L47" s="1"/>
  <c r="M47" s="1"/>
  <c r="N47" s="1"/>
  <c r="C46" i="16" s="1"/>
  <c r="D46" s="1"/>
  <c r="E51" i="3"/>
  <c r="F51" s="1"/>
  <c r="G51" s="1"/>
  <c r="H51" s="1"/>
  <c r="I51" s="1"/>
  <c r="J51" s="1"/>
  <c r="K51" s="1"/>
  <c r="L51" s="1"/>
  <c r="M51" s="1"/>
  <c r="N51" s="1"/>
  <c r="C50" i="16" s="1"/>
  <c r="D50" s="1"/>
  <c r="E55" i="3"/>
  <c r="F55" s="1"/>
  <c r="G55" s="1"/>
  <c r="H55" s="1"/>
  <c r="I55" s="1"/>
  <c r="J55" s="1"/>
  <c r="K55" s="1"/>
  <c r="L55" s="1"/>
  <c r="M55" s="1"/>
  <c r="N55" s="1"/>
  <c r="C54" i="16" s="1"/>
  <c r="D54" s="1"/>
  <c r="E59" i="3"/>
  <c r="F59" s="1"/>
  <c r="G59" s="1"/>
  <c r="H59" s="1"/>
  <c r="I59" s="1"/>
  <c r="J59" s="1"/>
  <c r="K59" s="1"/>
  <c r="L59" s="1"/>
  <c r="M59" s="1"/>
  <c r="N59" s="1"/>
  <c r="C58" i="16" s="1"/>
  <c r="D58" s="1"/>
  <c r="E63" i="3"/>
  <c r="F63" s="1"/>
  <c r="G63" s="1"/>
  <c r="H63" s="1"/>
  <c r="I63" s="1"/>
  <c r="J63" s="1"/>
  <c r="K63" s="1"/>
  <c r="L63" s="1"/>
  <c r="M63" s="1"/>
  <c r="N63" s="1"/>
  <c r="C62" i="16" s="1"/>
  <c r="D62" s="1"/>
  <c r="E67" i="3"/>
  <c r="F67" s="1"/>
  <c r="G67" s="1"/>
  <c r="H67" s="1"/>
  <c r="I67" s="1"/>
  <c r="J67" s="1"/>
  <c r="K67" s="1"/>
  <c r="L67" s="1"/>
  <c r="M67" s="1"/>
  <c r="N67" s="1"/>
  <c r="C66" i="16" s="1"/>
  <c r="D66" s="1"/>
  <c r="E71" i="3"/>
  <c r="F71" s="1"/>
  <c r="G71" s="1"/>
  <c r="H71" s="1"/>
  <c r="I71" s="1"/>
  <c r="J71" s="1"/>
  <c r="K71" s="1"/>
  <c r="L71" s="1"/>
  <c r="M71" s="1"/>
  <c r="N71" s="1"/>
  <c r="C70" i="16" s="1"/>
  <c r="D70" s="1"/>
  <c r="E75" i="3"/>
  <c r="F75" s="1"/>
  <c r="G75" s="1"/>
  <c r="H75" s="1"/>
  <c r="I75" s="1"/>
  <c r="J75" s="1"/>
  <c r="K75" s="1"/>
  <c r="L75" s="1"/>
  <c r="M75" s="1"/>
  <c r="N75" s="1"/>
  <c r="C74" i="16" s="1"/>
  <c r="D74" s="1"/>
  <c r="E79" i="3"/>
  <c r="F79" s="1"/>
  <c r="G79" s="1"/>
  <c r="H79" s="1"/>
  <c r="I79" s="1"/>
  <c r="J79" s="1"/>
  <c r="K79" s="1"/>
  <c r="L79" s="1"/>
  <c r="M79" s="1"/>
  <c r="N79" s="1"/>
  <c r="C78" i="16" s="1"/>
  <c r="D78" s="1"/>
  <c r="E83" i="3"/>
  <c r="F83" s="1"/>
  <c r="G83" s="1"/>
  <c r="H83" s="1"/>
  <c r="I83" s="1"/>
  <c r="J83" s="1"/>
  <c r="K83" s="1"/>
  <c r="L83" s="1"/>
  <c r="M83" s="1"/>
  <c r="N83" s="1"/>
  <c r="C82" i="16" s="1"/>
  <c r="D82" s="1"/>
  <c r="E87" i="3"/>
  <c r="F87" s="1"/>
  <c r="G87" s="1"/>
  <c r="H87" s="1"/>
  <c r="I87" s="1"/>
  <c r="J87" s="1"/>
  <c r="K87" s="1"/>
  <c r="L87" s="1"/>
  <c r="M87" s="1"/>
  <c r="N87" s="1"/>
  <c r="C86" i="16" s="1"/>
  <c r="D86" s="1"/>
  <c r="E91" i="3"/>
  <c r="F91" s="1"/>
  <c r="G91" s="1"/>
  <c r="H91" s="1"/>
  <c r="I91" s="1"/>
  <c r="J91" s="1"/>
  <c r="K91" s="1"/>
  <c r="L91" s="1"/>
  <c r="M91" s="1"/>
  <c r="N91" s="1"/>
  <c r="C90" i="16" s="1"/>
  <c r="D90" s="1"/>
  <c r="E95" i="3"/>
  <c r="F95" s="1"/>
  <c r="G95" s="1"/>
  <c r="H95" s="1"/>
  <c r="I95" s="1"/>
  <c r="J95" s="1"/>
  <c r="K95" s="1"/>
  <c r="L95" s="1"/>
  <c r="M95" s="1"/>
  <c r="N95" s="1"/>
  <c r="C94" i="16" s="1"/>
  <c r="D94" s="1"/>
  <c r="E99" i="3"/>
  <c r="F99" s="1"/>
  <c r="G99" s="1"/>
  <c r="H99" s="1"/>
  <c r="I99" s="1"/>
  <c r="J99" s="1"/>
  <c r="K99" s="1"/>
  <c r="L99" s="1"/>
  <c r="M99" s="1"/>
  <c r="N99" s="1"/>
  <c r="C98" i="16" s="1"/>
  <c r="D98" s="1"/>
  <c r="E103" i="3"/>
  <c r="F103" s="1"/>
  <c r="G103" s="1"/>
  <c r="H103" s="1"/>
  <c r="I103" s="1"/>
  <c r="J103" s="1"/>
  <c r="K103" s="1"/>
  <c r="L103" s="1"/>
  <c r="M103" s="1"/>
  <c r="N103" s="1"/>
  <c r="C102" i="16" s="1"/>
  <c r="D102" s="1"/>
  <c r="E14" i="3"/>
  <c r="F14" s="1"/>
  <c r="G14" s="1"/>
  <c r="H14" s="1"/>
  <c r="I14" s="1"/>
  <c r="J14" s="1"/>
  <c r="K14" s="1"/>
  <c r="L14" s="1"/>
  <c r="M14" s="1"/>
  <c r="N14" s="1"/>
  <c r="C13" i="16" s="1"/>
  <c r="D13" s="1"/>
  <c r="E22" i="3"/>
  <c r="F22" s="1"/>
  <c r="G22" s="1"/>
  <c r="H22" s="1"/>
  <c r="I22" s="1"/>
  <c r="J22" s="1"/>
  <c r="K22" s="1"/>
  <c r="L22" s="1"/>
  <c r="M22" s="1"/>
  <c r="N22" s="1"/>
  <c r="C21" i="16" s="1"/>
  <c r="D21" s="1"/>
  <c r="E34" i="3"/>
  <c r="F34" s="1"/>
  <c r="G34" s="1"/>
  <c r="H34" s="1"/>
  <c r="I34" s="1"/>
  <c r="J34" s="1"/>
  <c r="K34" s="1"/>
  <c r="L34" s="1"/>
  <c r="M34" s="1"/>
  <c r="N34" s="1"/>
  <c r="C33" i="16" s="1"/>
  <c r="D33" s="1"/>
  <c r="E12" i="3"/>
  <c r="F12" s="1"/>
  <c r="G12" s="1"/>
  <c r="H12" s="1"/>
  <c r="I12" s="1"/>
  <c r="J12" s="1"/>
  <c r="K12" s="1"/>
  <c r="L12" s="1"/>
  <c r="M12" s="1"/>
  <c r="N12" s="1"/>
  <c r="C11" i="16" s="1"/>
  <c r="D11" s="1"/>
  <c r="E20" i="3"/>
  <c r="F20" s="1"/>
  <c r="G20" s="1"/>
  <c r="H20" s="1"/>
  <c r="I20" s="1"/>
  <c r="J20" s="1"/>
  <c r="K20" s="1"/>
  <c r="L20" s="1"/>
  <c r="M20" s="1"/>
  <c r="N20" s="1"/>
  <c r="C19" i="16" s="1"/>
  <c r="D19" s="1"/>
  <c r="E28" i="3"/>
  <c r="F28" s="1"/>
  <c r="G28" s="1"/>
  <c r="H28" s="1"/>
  <c r="I28" s="1"/>
  <c r="J28" s="1"/>
  <c r="K28" s="1"/>
  <c r="L28" s="1"/>
  <c r="M28" s="1"/>
  <c r="N28" s="1"/>
  <c r="C27" i="16" s="1"/>
  <c r="D27" s="1"/>
  <c r="E32" i="3"/>
  <c r="F32" s="1"/>
  <c r="G32" s="1"/>
  <c r="H32" s="1"/>
  <c r="I32" s="1"/>
  <c r="J32" s="1"/>
  <c r="K32" s="1"/>
  <c r="L32" s="1"/>
  <c r="M32" s="1"/>
  <c r="N32" s="1"/>
  <c r="C31" i="16" s="1"/>
  <c r="D31" s="1"/>
  <c r="E36" i="3"/>
  <c r="F36" s="1"/>
  <c r="G36" s="1"/>
  <c r="H36" s="1"/>
  <c r="I36" s="1"/>
  <c r="J36" s="1"/>
  <c r="K36" s="1"/>
  <c r="L36" s="1"/>
  <c r="M36" s="1"/>
  <c r="N36" s="1"/>
  <c r="C35" i="16" s="1"/>
  <c r="D35" s="1"/>
  <c r="E40" i="3"/>
  <c r="F40" s="1"/>
  <c r="G40" s="1"/>
  <c r="H40" s="1"/>
  <c r="I40" s="1"/>
  <c r="J40" s="1"/>
  <c r="K40" s="1"/>
  <c r="L40" s="1"/>
  <c r="M40" s="1"/>
  <c r="N40" s="1"/>
  <c r="C39" i="16" s="1"/>
  <c r="D39" s="1"/>
  <c r="E44" i="3"/>
  <c r="F44" s="1"/>
  <c r="G44" s="1"/>
  <c r="H44" s="1"/>
  <c r="I44" s="1"/>
  <c r="J44" s="1"/>
  <c r="K44" s="1"/>
  <c r="L44" s="1"/>
  <c r="M44" s="1"/>
  <c r="N44" s="1"/>
  <c r="C43" i="16" s="1"/>
  <c r="D43" s="1"/>
  <c r="E48" i="3"/>
  <c r="F48" s="1"/>
  <c r="G48" s="1"/>
  <c r="H48" s="1"/>
  <c r="I48" s="1"/>
  <c r="J48" s="1"/>
  <c r="K48" s="1"/>
  <c r="L48" s="1"/>
  <c r="M48" s="1"/>
  <c r="N48" s="1"/>
  <c r="C47" i="16" s="1"/>
  <c r="D47" s="1"/>
  <c r="E52" i="3"/>
  <c r="F52" s="1"/>
  <c r="G52" s="1"/>
  <c r="H52" s="1"/>
  <c r="I52" s="1"/>
  <c r="J52" s="1"/>
  <c r="K52" s="1"/>
  <c r="L52" s="1"/>
  <c r="M52" s="1"/>
  <c r="N52" s="1"/>
  <c r="C51" i="16" s="1"/>
  <c r="D51" s="1"/>
  <c r="E56" i="3"/>
  <c r="F56" s="1"/>
  <c r="G56" s="1"/>
  <c r="H56" s="1"/>
  <c r="I56" s="1"/>
  <c r="J56" s="1"/>
  <c r="K56" s="1"/>
  <c r="L56" s="1"/>
  <c r="M56" s="1"/>
  <c r="N56" s="1"/>
  <c r="C55" i="16" s="1"/>
  <c r="D55" s="1"/>
  <c r="E60" i="3"/>
  <c r="F60" s="1"/>
  <c r="G60" s="1"/>
  <c r="H60" s="1"/>
  <c r="I60" s="1"/>
  <c r="J60" s="1"/>
  <c r="K60" s="1"/>
  <c r="L60" s="1"/>
  <c r="M60" s="1"/>
  <c r="N60" s="1"/>
  <c r="C59" i="16" s="1"/>
  <c r="D59" s="1"/>
  <c r="E64" i="3"/>
  <c r="F64" s="1"/>
  <c r="G64" s="1"/>
  <c r="H64" s="1"/>
  <c r="I64" s="1"/>
  <c r="J64" s="1"/>
  <c r="K64" s="1"/>
  <c r="L64" s="1"/>
  <c r="M64" s="1"/>
  <c r="N64" s="1"/>
  <c r="C63" i="16" s="1"/>
  <c r="D63" s="1"/>
  <c r="E68" i="3"/>
  <c r="F68" s="1"/>
  <c r="G68" s="1"/>
  <c r="H68" s="1"/>
  <c r="I68" s="1"/>
  <c r="J68" s="1"/>
  <c r="K68" s="1"/>
  <c r="L68" s="1"/>
  <c r="M68" s="1"/>
  <c r="N68" s="1"/>
  <c r="C67" i="16" s="1"/>
  <c r="D67" s="1"/>
  <c r="E72" i="3"/>
  <c r="F72" s="1"/>
  <c r="G72" s="1"/>
  <c r="H72" s="1"/>
  <c r="I72" s="1"/>
  <c r="J72" s="1"/>
  <c r="K72" s="1"/>
  <c r="L72" s="1"/>
  <c r="M72" s="1"/>
  <c r="N72" s="1"/>
  <c r="C71" i="16" s="1"/>
  <c r="D71" s="1"/>
  <c r="E76" i="3"/>
  <c r="F76" s="1"/>
  <c r="G76" s="1"/>
  <c r="H76" s="1"/>
  <c r="I76" s="1"/>
  <c r="J76" s="1"/>
  <c r="K76" s="1"/>
  <c r="L76" s="1"/>
  <c r="M76" s="1"/>
  <c r="N76" s="1"/>
  <c r="C75" i="16" s="1"/>
  <c r="D75" s="1"/>
  <c r="E80" i="3"/>
  <c r="F80" s="1"/>
  <c r="G80" s="1"/>
  <c r="H80" s="1"/>
  <c r="I80" s="1"/>
  <c r="J80" s="1"/>
  <c r="K80" s="1"/>
  <c r="L80" s="1"/>
  <c r="M80" s="1"/>
  <c r="N80" s="1"/>
  <c r="C79" i="16" s="1"/>
  <c r="D79" s="1"/>
  <c r="E84" i="3"/>
  <c r="F84" s="1"/>
  <c r="G84" s="1"/>
  <c r="H84" s="1"/>
  <c r="I84" s="1"/>
  <c r="J84" s="1"/>
  <c r="K84" s="1"/>
  <c r="L84" s="1"/>
  <c r="M84" s="1"/>
  <c r="N84" s="1"/>
  <c r="C83" i="16" s="1"/>
  <c r="D83" s="1"/>
  <c r="E88" i="3"/>
  <c r="F88" s="1"/>
  <c r="G88" s="1"/>
  <c r="H88" s="1"/>
  <c r="I88" s="1"/>
  <c r="J88" s="1"/>
  <c r="K88" s="1"/>
  <c r="L88" s="1"/>
  <c r="M88" s="1"/>
  <c r="N88" s="1"/>
  <c r="C87" i="16" s="1"/>
  <c r="D87" s="1"/>
  <c r="E92" i="3"/>
  <c r="F92" s="1"/>
  <c r="G92" s="1"/>
  <c r="H92" s="1"/>
  <c r="I92" s="1"/>
  <c r="J92" s="1"/>
  <c r="K92" s="1"/>
  <c r="L92" s="1"/>
  <c r="M92" s="1"/>
  <c r="N92" s="1"/>
  <c r="C91" i="16" s="1"/>
  <c r="D91" s="1"/>
  <c r="E96" i="3"/>
  <c r="F96" s="1"/>
  <c r="G96" s="1"/>
  <c r="H96" s="1"/>
  <c r="I96" s="1"/>
  <c r="J96" s="1"/>
  <c r="K96" s="1"/>
  <c r="L96" s="1"/>
  <c r="M96" s="1"/>
  <c r="N96" s="1"/>
  <c r="C95" i="16" s="1"/>
  <c r="D95" s="1"/>
  <c r="E100" i="3"/>
  <c r="F100" s="1"/>
  <c r="G100" s="1"/>
  <c r="H100" s="1"/>
  <c r="I100" s="1"/>
  <c r="J100" s="1"/>
  <c r="K100" s="1"/>
  <c r="L100" s="1"/>
  <c r="M100" s="1"/>
  <c r="N100" s="1"/>
  <c r="C99" i="16" s="1"/>
  <c r="D99" s="1"/>
  <c r="E104" i="3"/>
  <c r="F104" s="1"/>
  <c r="G104" s="1"/>
  <c r="H104" s="1"/>
  <c r="I104" s="1"/>
  <c r="J104" s="1"/>
  <c r="K104" s="1"/>
  <c r="L104" s="1"/>
  <c r="M104" s="1"/>
  <c r="N104" s="1"/>
  <c r="C103" i="16" s="1"/>
  <c r="D103" s="1"/>
  <c r="E16" i="3"/>
  <c r="F16" s="1"/>
  <c r="G16" s="1"/>
  <c r="H16" s="1"/>
  <c r="I16" s="1"/>
  <c r="J16" s="1"/>
  <c r="K16" s="1"/>
  <c r="L16" s="1"/>
  <c r="M16" s="1"/>
  <c r="N16" s="1"/>
  <c r="C15" i="16" s="1"/>
  <c r="D15" s="1"/>
  <c r="E24" i="3"/>
  <c r="F24" s="1"/>
  <c r="G24" s="1"/>
  <c r="H24" s="1"/>
  <c r="I24" s="1"/>
  <c r="J24" s="1"/>
  <c r="K24" s="1"/>
  <c r="L24" s="1"/>
  <c r="M24" s="1"/>
  <c r="N24" s="1"/>
  <c r="C23" i="16" s="1"/>
  <c r="D23" s="1"/>
  <c r="E9" i="3"/>
  <c r="F9" s="1"/>
  <c r="G9" s="1"/>
  <c r="H9" s="1"/>
  <c r="I9" s="1"/>
  <c r="J9" s="1"/>
  <c r="K9" s="1"/>
  <c r="L9" s="1"/>
  <c r="M9" s="1"/>
  <c r="N9" s="1"/>
  <c r="C8" i="16" s="1"/>
  <c r="D8" s="1"/>
  <c r="E13" i="3"/>
  <c r="F13" s="1"/>
  <c r="G13" s="1"/>
  <c r="H13" s="1"/>
  <c r="I13" s="1"/>
  <c r="J13" s="1"/>
  <c r="K13" s="1"/>
  <c r="L13" s="1"/>
  <c r="M13" s="1"/>
  <c r="N13" s="1"/>
  <c r="C12" i="16" s="1"/>
  <c r="D12" s="1"/>
  <c r="E17" i="3"/>
  <c r="F17" s="1"/>
  <c r="G17" s="1"/>
  <c r="H17" s="1"/>
  <c r="I17" s="1"/>
  <c r="J17" s="1"/>
  <c r="K17" s="1"/>
  <c r="L17" s="1"/>
  <c r="M17" s="1"/>
  <c r="N17" s="1"/>
  <c r="C16" i="16" s="1"/>
  <c r="D16" s="1"/>
  <c r="E21" i="3"/>
  <c r="F21" s="1"/>
  <c r="G21" s="1"/>
  <c r="H21" s="1"/>
  <c r="I21" s="1"/>
  <c r="J21" s="1"/>
  <c r="K21" s="1"/>
  <c r="L21" s="1"/>
  <c r="M21" s="1"/>
  <c r="N21" s="1"/>
  <c r="C20" i="16" s="1"/>
  <c r="D20" s="1"/>
  <c r="E25" i="3"/>
  <c r="F25" s="1"/>
  <c r="G25" s="1"/>
  <c r="H25" s="1"/>
  <c r="I25" s="1"/>
  <c r="J25" s="1"/>
  <c r="K25" s="1"/>
  <c r="L25" s="1"/>
  <c r="M25" s="1"/>
  <c r="N25" s="1"/>
  <c r="C24" i="16" s="1"/>
  <c r="D24" s="1"/>
  <c r="E29" i="3"/>
  <c r="F29" s="1"/>
  <c r="G29" s="1"/>
  <c r="H29" s="1"/>
  <c r="I29" s="1"/>
  <c r="J29" s="1"/>
  <c r="K29" s="1"/>
  <c r="L29" s="1"/>
  <c r="M29" s="1"/>
  <c r="N29" s="1"/>
  <c r="C28" i="16" s="1"/>
  <c r="D28" s="1"/>
  <c r="E33" i="3"/>
  <c r="F33" s="1"/>
  <c r="G33" s="1"/>
  <c r="H33" s="1"/>
  <c r="I33" s="1"/>
  <c r="J33" s="1"/>
  <c r="K33" s="1"/>
  <c r="L33" s="1"/>
  <c r="M33" s="1"/>
  <c r="N33" s="1"/>
  <c r="C32" i="16" s="1"/>
  <c r="D32" s="1"/>
  <c r="E37" i="3"/>
  <c r="F37" s="1"/>
  <c r="G37" s="1"/>
  <c r="H37" s="1"/>
  <c r="I37" s="1"/>
  <c r="J37" s="1"/>
  <c r="K37" s="1"/>
  <c r="L37" s="1"/>
  <c r="M37" s="1"/>
  <c r="N37" s="1"/>
  <c r="C36" i="16" s="1"/>
  <c r="D36" s="1"/>
  <c r="E41" i="3"/>
  <c r="F41" s="1"/>
  <c r="G41" s="1"/>
  <c r="H41" s="1"/>
  <c r="I41" s="1"/>
  <c r="J41" s="1"/>
  <c r="K41" s="1"/>
  <c r="L41" s="1"/>
  <c r="M41" s="1"/>
  <c r="N41" s="1"/>
  <c r="C40" i="16" s="1"/>
  <c r="D40" s="1"/>
  <c r="E45" i="3"/>
  <c r="F45" s="1"/>
  <c r="G45" s="1"/>
  <c r="H45" s="1"/>
  <c r="I45" s="1"/>
  <c r="J45" s="1"/>
  <c r="K45" s="1"/>
  <c r="L45" s="1"/>
  <c r="M45" s="1"/>
  <c r="N45" s="1"/>
  <c r="C44" i="16" s="1"/>
  <c r="D44" s="1"/>
  <c r="E49" i="3"/>
  <c r="F49" s="1"/>
  <c r="G49" s="1"/>
  <c r="H49" s="1"/>
  <c r="I49" s="1"/>
  <c r="J49" s="1"/>
  <c r="K49" s="1"/>
  <c r="L49" s="1"/>
  <c r="M49" s="1"/>
  <c r="N49" s="1"/>
  <c r="C48" i="16" s="1"/>
  <c r="D48" s="1"/>
  <c r="E53" i="3"/>
  <c r="F53" s="1"/>
  <c r="G53" s="1"/>
  <c r="H53" s="1"/>
  <c r="I53" s="1"/>
  <c r="J53" s="1"/>
  <c r="K53" s="1"/>
  <c r="L53" s="1"/>
  <c r="M53" s="1"/>
  <c r="N53" s="1"/>
  <c r="C52" i="16" s="1"/>
  <c r="D52" s="1"/>
  <c r="E57" i="3"/>
  <c r="F57" s="1"/>
  <c r="G57" s="1"/>
  <c r="H57" s="1"/>
  <c r="I57" s="1"/>
  <c r="J57" s="1"/>
  <c r="K57" s="1"/>
  <c r="L57" s="1"/>
  <c r="M57" s="1"/>
  <c r="N57" s="1"/>
  <c r="C56" i="16" s="1"/>
  <c r="D56" s="1"/>
  <c r="E61" i="3"/>
  <c r="F61" s="1"/>
  <c r="G61" s="1"/>
  <c r="H61" s="1"/>
  <c r="I61" s="1"/>
  <c r="J61" s="1"/>
  <c r="K61" s="1"/>
  <c r="L61" s="1"/>
  <c r="M61" s="1"/>
  <c r="N61" s="1"/>
  <c r="C60" i="16" s="1"/>
  <c r="D60" s="1"/>
  <c r="E65" i="3"/>
  <c r="F65" s="1"/>
  <c r="G65" s="1"/>
  <c r="H65" s="1"/>
  <c r="I65" s="1"/>
  <c r="J65" s="1"/>
  <c r="K65" s="1"/>
  <c r="L65" s="1"/>
  <c r="M65" s="1"/>
  <c r="N65" s="1"/>
  <c r="C64" i="16" s="1"/>
  <c r="D64" s="1"/>
  <c r="E69" i="3"/>
  <c r="F69" s="1"/>
  <c r="G69" s="1"/>
  <c r="H69" s="1"/>
  <c r="I69" s="1"/>
  <c r="J69" s="1"/>
  <c r="K69" s="1"/>
  <c r="L69" s="1"/>
  <c r="M69" s="1"/>
  <c r="N69" s="1"/>
  <c r="C68" i="16" s="1"/>
  <c r="D68" s="1"/>
  <c r="E73" i="3"/>
  <c r="F73" s="1"/>
  <c r="G73" s="1"/>
  <c r="H73" s="1"/>
  <c r="I73" s="1"/>
  <c r="J73" s="1"/>
  <c r="K73" s="1"/>
  <c r="L73" s="1"/>
  <c r="M73" s="1"/>
  <c r="N73" s="1"/>
  <c r="C72" i="16" s="1"/>
  <c r="D72" s="1"/>
  <c r="E77" i="3"/>
  <c r="F77" s="1"/>
  <c r="G77" s="1"/>
  <c r="H77" s="1"/>
  <c r="I77" s="1"/>
  <c r="J77" s="1"/>
  <c r="K77" s="1"/>
  <c r="L77" s="1"/>
  <c r="M77" s="1"/>
  <c r="N77" s="1"/>
  <c r="C76" i="16" s="1"/>
  <c r="D76" s="1"/>
  <c r="E81" i="3"/>
  <c r="F81" s="1"/>
  <c r="G81" s="1"/>
  <c r="H81" s="1"/>
  <c r="I81" s="1"/>
  <c r="J81" s="1"/>
  <c r="K81" s="1"/>
  <c r="L81" s="1"/>
  <c r="M81" s="1"/>
  <c r="N81" s="1"/>
  <c r="C80" i="16" s="1"/>
  <c r="D80" s="1"/>
  <c r="E85" i="3"/>
  <c r="F85" s="1"/>
  <c r="G85" s="1"/>
  <c r="H85" s="1"/>
  <c r="I85" s="1"/>
  <c r="J85" s="1"/>
  <c r="K85" s="1"/>
  <c r="L85" s="1"/>
  <c r="M85" s="1"/>
  <c r="N85" s="1"/>
  <c r="C84" i="16" s="1"/>
  <c r="D84" s="1"/>
  <c r="E89" i="3"/>
  <c r="F89" s="1"/>
  <c r="G89" s="1"/>
  <c r="H89" s="1"/>
  <c r="I89" s="1"/>
  <c r="J89" s="1"/>
  <c r="K89" s="1"/>
  <c r="L89" s="1"/>
  <c r="M89" s="1"/>
  <c r="N89" s="1"/>
  <c r="C88" i="16" s="1"/>
  <c r="D88" s="1"/>
  <c r="E93" i="3"/>
  <c r="F93" s="1"/>
  <c r="G93" s="1"/>
  <c r="H93" s="1"/>
  <c r="I93" s="1"/>
  <c r="J93" s="1"/>
  <c r="K93" s="1"/>
  <c r="L93" s="1"/>
  <c r="M93" s="1"/>
  <c r="N93" s="1"/>
  <c r="C92" i="16" s="1"/>
  <c r="D92" s="1"/>
  <c r="E97" i="3"/>
  <c r="F97" s="1"/>
  <c r="G97" s="1"/>
  <c r="H97" s="1"/>
  <c r="I97" s="1"/>
  <c r="J97" s="1"/>
  <c r="K97" s="1"/>
  <c r="L97" s="1"/>
  <c r="M97" s="1"/>
  <c r="N97" s="1"/>
  <c r="C96" i="16" s="1"/>
  <c r="D96" s="1"/>
  <c r="E101" i="3"/>
  <c r="F101" s="1"/>
  <c r="G101" s="1"/>
  <c r="H101" s="1"/>
  <c r="I101" s="1"/>
  <c r="J101" s="1"/>
  <c r="K101" s="1"/>
  <c r="L101" s="1"/>
  <c r="M101" s="1"/>
  <c r="N101" s="1"/>
  <c r="C100" i="16" s="1"/>
  <c r="D100" s="1"/>
  <c r="E105" i="3"/>
  <c r="F105" s="1"/>
  <c r="G105" s="1"/>
  <c r="H105" s="1"/>
  <c r="I105" s="1"/>
  <c r="J105" s="1"/>
  <c r="K105" s="1"/>
  <c r="L105" s="1"/>
  <c r="M105" s="1"/>
  <c r="N105" s="1"/>
  <c r="C104" i="16" s="1"/>
  <c r="D104" s="1"/>
  <c r="K12" l="1"/>
  <c r="K23" s="1"/>
  <c r="K16"/>
  <c r="K25" s="1"/>
  <c r="F7" i="3"/>
  <c r="L18" i="16"/>
  <c r="L10"/>
  <c r="L15"/>
  <c r="L11"/>
  <c r="L7"/>
  <c r="L8"/>
  <c r="L14"/>
  <c r="L9"/>
  <c r="K24" l="1"/>
  <c r="K22"/>
  <c r="L16"/>
  <c r="L25" s="1"/>
  <c r="L12"/>
  <c r="L23" s="1"/>
  <c r="G7" i="3"/>
  <c r="M14" i="16"/>
  <c r="M9"/>
  <c r="M18"/>
  <c r="M10"/>
  <c r="M15"/>
  <c r="M11"/>
  <c r="M7"/>
  <c r="M8"/>
  <c r="L22" l="1"/>
  <c r="L24"/>
  <c r="M16"/>
  <c r="M25" s="1"/>
  <c r="M12"/>
  <c r="M23" s="1"/>
  <c r="H7" i="3"/>
  <c r="N8" i="16"/>
  <c r="N14"/>
  <c r="N9"/>
  <c r="N18"/>
  <c r="N10"/>
  <c r="N15"/>
  <c r="N11"/>
  <c r="N7"/>
  <c r="M22" l="1"/>
  <c r="M24"/>
  <c r="N16"/>
  <c r="N25" s="1"/>
  <c r="N12"/>
  <c r="N23" s="1"/>
  <c r="I7" i="3"/>
  <c r="O15" i="16"/>
  <c r="O11"/>
  <c r="O7"/>
  <c r="O8"/>
  <c r="O14"/>
  <c r="O9"/>
  <c r="O18"/>
  <c r="O10"/>
  <c r="N24" l="1"/>
  <c r="N22"/>
  <c r="O16"/>
  <c r="O25" s="1"/>
  <c r="O12"/>
  <c r="O23" s="1"/>
  <c r="J7" i="3"/>
  <c r="P18" i="16"/>
  <c r="P10"/>
  <c r="P15"/>
  <c r="P11"/>
  <c r="P7"/>
  <c r="P8"/>
  <c r="P14"/>
  <c r="P9"/>
  <c r="O24" l="1"/>
  <c r="O22"/>
  <c r="P12"/>
  <c r="P23" s="1"/>
  <c r="K7" i="3"/>
  <c r="Q14" i="16"/>
  <c r="Q9"/>
  <c r="Q18"/>
  <c r="Q10"/>
  <c r="Q15"/>
  <c r="Q11"/>
  <c r="Q7"/>
  <c r="Q8"/>
  <c r="P16"/>
  <c r="P25" s="1"/>
  <c r="P22" l="1"/>
  <c r="P24"/>
  <c r="Q12"/>
  <c r="Q23" s="1"/>
  <c r="L7" i="3"/>
  <c r="R8" i="16"/>
  <c r="R14"/>
  <c r="R9"/>
  <c r="R18"/>
  <c r="R10"/>
  <c r="R15"/>
  <c r="R11"/>
  <c r="R7"/>
  <c r="Q16"/>
  <c r="Q25" s="1"/>
  <c r="Q24" l="1"/>
  <c r="Q22"/>
  <c r="R12"/>
  <c r="R23" s="1"/>
  <c r="M7" i="3"/>
  <c r="S15" i="16"/>
  <c r="S11"/>
  <c r="S7"/>
  <c r="S8"/>
  <c r="S14"/>
  <c r="S9"/>
  <c r="S18"/>
  <c r="S10"/>
  <c r="R16"/>
  <c r="R25" s="1"/>
  <c r="R24" l="1"/>
  <c r="R22"/>
  <c r="S12"/>
  <c r="S23" s="1"/>
  <c r="N7" i="3"/>
  <c r="D46" i="8" s="1"/>
  <c r="T18" i="16"/>
  <c r="T10"/>
  <c r="T15"/>
  <c r="T11"/>
  <c r="T7"/>
  <c r="T8"/>
  <c r="T14"/>
  <c r="T9"/>
  <c r="S16"/>
  <c r="S25" s="1"/>
  <c r="S22" l="1"/>
  <c r="S24"/>
  <c r="U14"/>
  <c r="U9"/>
  <c r="U18"/>
  <c r="U10"/>
  <c r="AA12"/>
  <c r="U15"/>
  <c r="U11"/>
  <c r="U7"/>
  <c r="AA5"/>
  <c r="U8"/>
  <c r="C6"/>
  <c r="D6" s="1"/>
  <c r="T12"/>
  <c r="T23" s="1"/>
  <c r="T16"/>
  <c r="T25" s="1"/>
  <c r="F60" i="8"/>
  <c r="D52"/>
  <c r="T24" i="16" l="1"/>
  <c r="E80" i="8"/>
  <c r="E81" s="1"/>
  <c r="E82" s="1"/>
  <c r="T22" i="16"/>
  <c r="AI14"/>
  <c r="D72" i="8" s="1"/>
  <c r="AH12" i="16"/>
  <c r="AH9"/>
  <c r="AH10"/>
  <c r="AI12"/>
  <c r="AI11"/>
  <c r="D69" i="8" s="1"/>
  <c r="AH11" i="16"/>
  <c r="AI13"/>
  <c r="D71" i="8" s="1"/>
  <c r="AH13" i="16"/>
  <c r="AI8"/>
  <c r="D66" i="8" s="1"/>
  <c r="AH14" i="16"/>
  <c r="AI10"/>
  <c r="AH8"/>
  <c r="AI9"/>
  <c r="U12"/>
  <c r="AA11"/>
  <c r="AA6"/>
  <c r="U16"/>
  <c r="E74" i="8" l="1"/>
  <c r="E75" s="1"/>
  <c r="E76" s="1"/>
  <c r="U23" i="16"/>
  <c r="E87" i="8"/>
  <c r="E88" s="1"/>
  <c r="E89" s="1"/>
  <c r="U25" i="16"/>
  <c r="U24"/>
  <c r="U22"/>
  <c r="F59" i="8"/>
  <c r="AJ9" i="16"/>
  <c r="D67" i="8"/>
  <c r="AJ10" i="16"/>
  <c r="D68" i="8"/>
  <c r="AJ12" i="16"/>
  <c r="D70" i="8"/>
  <c r="AA14" i="16"/>
  <c r="F61" i="8"/>
  <c r="AJ13" i="16"/>
  <c r="AJ8"/>
  <c r="AJ11"/>
  <c r="AJ14"/>
  <c r="AA15" l="1"/>
  <c r="F62" i="8"/>
  <c r="E90"/>
  <c r="E91" s="1"/>
  <c r="E77"/>
  <c r="E78" s="1"/>
  <c r="E83"/>
  <c r="E84" s="1"/>
  <c r="AJ17" i="16"/>
  <c r="F63" i="8" s="1"/>
</calcChain>
</file>

<file path=xl/sharedStrings.xml><?xml version="1.0" encoding="utf-8"?>
<sst xmlns="http://schemas.openxmlformats.org/spreadsheetml/2006/main" count="521" uniqueCount="398">
  <si>
    <t>Year</t>
  </si>
  <si>
    <t>Projection number</t>
  </si>
  <si>
    <t>Median</t>
  </si>
  <si>
    <t>Average loss, given there is a loss</t>
  </si>
  <si>
    <t>number of projections with a loss</t>
  </si>
  <si>
    <t>Sum of projections with a loss</t>
  </si>
  <si>
    <t>Average end value</t>
  </si>
  <si>
    <t>average loss</t>
  </si>
  <si>
    <t>Probability of a loss</t>
  </si>
  <si>
    <t>max</t>
  </si>
  <si>
    <t>min</t>
  </si>
  <si>
    <t>mean</t>
  </si>
  <si>
    <t>Annualised return</t>
  </si>
  <si>
    <t>count below max</t>
  </si>
  <si>
    <t>count below min</t>
  </si>
  <si>
    <t>count in range</t>
  </si>
  <si>
    <t>Range</t>
  </si>
  <si>
    <t>ARN :</t>
  </si>
  <si>
    <t>TOTAL :</t>
  </si>
  <si>
    <t>of 100</t>
  </si>
  <si>
    <t>Audit Approach</t>
  </si>
  <si>
    <t>Comments</t>
  </si>
  <si>
    <t>Audit</t>
  </si>
  <si>
    <t>of 4</t>
  </si>
  <si>
    <t>Model steps accurately described</t>
  </si>
  <si>
    <t>e.g. :</t>
  </si>
  <si>
    <t>of 2</t>
  </si>
  <si>
    <t>Overview</t>
  </si>
  <si>
    <t>of 1</t>
  </si>
  <si>
    <t>List of parameters used</t>
  </si>
  <si>
    <t>All Checks clearly reported</t>
  </si>
  <si>
    <t>Description of reasonableness checks</t>
  </si>
  <si>
    <t>Description of any other valid check performed</t>
  </si>
  <si>
    <t>Bonus - detailed in comment ----&gt;</t>
  </si>
  <si>
    <t>Model accuracy, completeness and good modelling techniques</t>
  </si>
  <si>
    <t>All worksheets have meaningful/sensible titles</t>
  </si>
  <si>
    <t>Named ranges have been used for parameter cells</t>
  </si>
  <si>
    <t>(iv)</t>
  </si>
  <si>
    <t>(v)</t>
  </si>
  <si>
    <t>(vi)</t>
  </si>
  <si>
    <t>Chart has meaningful title and labelled axes</t>
  </si>
  <si>
    <t>Chart shows the correct figures</t>
  </si>
  <si>
    <t>(viii)</t>
  </si>
  <si>
    <t>(ix)</t>
  </si>
  <si>
    <t>(x)</t>
  </si>
  <si>
    <t>Any other distinct, valid check</t>
  </si>
  <si>
    <t>General Comments on script</t>
  </si>
  <si>
    <t>Returns data</t>
  </si>
  <si>
    <t>Data checks</t>
  </si>
  <si>
    <t>Data maximum</t>
  </si>
  <si>
    <t>Data minimum</t>
  </si>
  <si>
    <t>Average</t>
  </si>
  <si>
    <t>standard deviation</t>
  </si>
  <si>
    <t>count</t>
  </si>
  <si>
    <t>Average asset value after 10 years</t>
  </si>
  <si>
    <t>Growth over 10 years using average return</t>
  </si>
  <si>
    <t>Difference</t>
  </si>
  <si>
    <t>Close, but we wouldn't expect it to be exactly the same</t>
  </si>
  <si>
    <t>Checks</t>
  </si>
  <si>
    <t>Checks of initial data</t>
  </si>
  <si>
    <t>Question iv</t>
  </si>
  <si>
    <t>Number of runs which lost money over the period</t>
  </si>
  <si>
    <t>Total</t>
  </si>
  <si>
    <t>Q x</t>
  </si>
  <si>
    <t>Projection values</t>
  </si>
  <si>
    <t>Loss Statistics</t>
  </si>
  <si>
    <t>Distribution of Annualised Returns</t>
  </si>
  <si>
    <t>Manual checks</t>
  </si>
  <si>
    <t xml:space="preserve">Percentile projections </t>
  </si>
  <si>
    <t>25th percentile &lt;= median</t>
  </si>
  <si>
    <t>Median &lt;= 75th percentile</t>
  </si>
  <si>
    <t>75th percentile &lt;= max</t>
  </si>
  <si>
    <t>Distribution chart looks sensible</t>
  </si>
  <si>
    <t>Number of runs with a loss is between 0 and 100</t>
  </si>
  <si>
    <t>Average loss is less than the starting value</t>
  </si>
  <si>
    <t>Asset value never goes negative</t>
  </si>
  <si>
    <t>All runs are included in the distribution chart</t>
  </si>
  <si>
    <t>Audit trail</t>
  </si>
  <si>
    <t>Input cells look like this</t>
  </si>
  <si>
    <t>Return distribution chart</t>
  </si>
  <si>
    <t>rank</t>
  </si>
  <si>
    <t>Description of derivation of the asset value at end of each year</t>
  </si>
  <si>
    <t>Description of derivation of the asset value growth over the 10 years</t>
  </si>
  <si>
    <t>Description of derivation of how this growth was annualised to get an annual figure</t>
  </si>
  <si>
    <t>Statement that the calculations are identical for each run</t>
  </si>
  <si>
    <t>Clear reporting of which numbers are plotted in the chart</t>
  </si>
  <si>
    <t>Any other useful description</t>
  </si>
  <si>
    <t>Description of reasonableness and auto checks, (one mark per check documented, max 4)</t>
  </si>
  <si>
    <t>The calculations are structured such that each random return value is used once and only once</t>
  </si>
  <si>
    <t>Correct type of chart selected</t>
  </si>
  <si>
    <t>(vii)</t>
  </si>
  <si>
    <t>Check there are 1000 data points</t>
  </si>
  <si>
    <t>Check minimum value is not lower than -100%</t>
  </si>
  <si>
    <t>Check maximum value is sensible</t>
  </si>
  <si>
    <t>greater than -100% so ok</t>
  </si>
  <si>
    <t>Seems sensible</t>
  </si>
  <si>
    <t>this is the number we're expecting</t>
  </si>
  <si>
    <t>number of values which are:</t>
  </si>
  <si>
    <t>&lt;-40%</t>
  </si>
  <si>
    <t>&lt;-30%</t>
  </si>
  <si>
    <t>&lt;-20%</t>
  </si>
  <si>
    <t>&lt;-10%</t>
  </si>
  <si>
    <t>&lt;10%</t>
  </si>
  <si>
    <t>&lt;0%</t>
  </si>
  <si>
    <t>&lt;20%</t>
  </si>
  <si>
    <t>&lt;30%</t>
  </si>
  <si>
    <t>&lt;40%</t>
  </si>
  <si>
    <t>&lt;50%</t>
  </si>
  <si>
    <t>&lt;60%</t>
  </si>
  <si>
    <t>&lt;70%</t>
  </si>
  <si>
    <t>&lt;80%</t>
  </si>
  <si>
    <t>Returns are mainly between 0 and 10%, and there are fewer extreme returns than moderate returns</t>
  </si>
  <si>
    <t>Check the standard deviation is sensible</t>
  </si>
  <si>
    <t>check 75th percentile &lt;=maximum for all years</t>
  </si>
  <si>
    <t>check 25th percentile &lt;= median for all years</t>
  </si>
  <si>
    <t>Check the minimum &lt;= 25th percentile for all years</t>
  </si>
  <si>
    <t>Check asset value never goes negative</t>
  </si>
  <si>
    <t>Percentile Projection Chart</t>
  </si>
  <si>
    <t>Chart shows bucket range as the x axis and count as the y axis</t>
  </si>
  <si>
    <t>Check the rough distribution looks sensible (in this case, centred around moderate returns with fewer extreme returns</t>
  </si>
  <si>
    <t>Check the average value is sensible</t>
  </si>
  <si>
    <t>check median &lt;= 75th percentile for all years</t>
  </si>
  <si>
    <t>seems high but not unreasonable, it is not much more than 3 standard deviations from the mean, and this distribution can't be normal as it is not symmetrical so ok</t>
  </si>
  <si>
    <t>Min &lt;= 25th percentile</t>
  </si>
  <si>
    <t>(i)</t>
  </si>
  <si>
    <t>Parameters</t>
  </si>
  <si>
    <t>Length of projection (years)</t>
  </si>
  <si>
    <t>Number of simulations</t>
  </si>
  <si>
    <t>Ranges for distribution of returns</t>
  </si>
  <si>
    <t>Starting Asset Value</t>
  </si>
  <si>
    <t>&lt;- Insert columns here to add more years of returns data</t>
  </si>
  <si>
    <t>Insert rows below this line to add more simulations</t>
  </si>
  <si>
    <t>Checks in "Projection Statistics" columns K to U all ok?</t>
  </si>
  <si>
    <t>Sensible?</t>
  </si>
  <si>
    <t>Manual sense checks</t>
  </si>
  <si>
    <t>Auto checks</t>
  </si>
  <si>
    <t>Projection length in years</t>
  </si>
  <si>
    <t>from parameters</t>
  </si>
  <si>
    <t>from input data</t>
  </si>
  <si>
    <t>check the number of projections with a loss is between  0 and 100</t>
  </si>
  <si>
    <t>Description of how the maximum value over the 100 projections for each of the 10 years was calculated</t>
  </si>
  <si>
    <t>Description of how the minimum value over the 100 projections for each of the 10 years was calculated</t>
  </si>
  <si>
    <t>Description of how the median value over the 100 projections for each of the 10 years was calculated</t>
  </si>
  <si>
    <t>Description of how the mean value over the 100 projections for each of the 10 years was calculated</t>
  </si>
  <si>
    <t>Description of how the number of projections that lost money were calculated, and how this is turned into a probability (by /number of projections)</t>
  </si>
  <si>
    <t>For each of the 100 projections, the asset value at year t has been calculated as asset value at t-1 * growth in year t</t>
  </si>
  <si>
    <t>Description of the check that all numbers are included in a return range</t>
  </si>
  <si>
    <t>Spreadsheet has separate worksheets for parameters/data, calculations and audit trail (or audit trail in a separate document)</t>
  </si>
  <si>
    <t>The lines represent the 25th, 50th and 75th percentile asset values, and the x axis shows time in years. The asset values start fairly close together, but diverge over time. The 25th percentile falls in the early years but starts to recover later on. Likewise, the 75th percentile return increases sharply in the early years but less so in later years.</t>
  </si>
  <si>
    <t>Parameters Sheet</t>
  </si>
  <si>
    <t>Raw Data Sheet</t>
  </si>
  <si>
    <t>I've manually looked across each column to check that none of the columns have been duplicated</t>
  </si>
  <si>
    <t>I've manually looked down each row to check that none of the rows have been duplicated</t>
  </si>
  <si>
    <t>Percentile projection chart looks sensible</t>
  </si>
  <si>
    <t>Projection Sheet</t>
  </si>
  <si>
    <t>Projection Statistics Sheet</t>
  </si>
  <si>
    <t>(ii)</t>
  </si>
  <si>
    <t>of 8</t>
  </si>
  <si>
    <t>Total for part (i) (max 2)</t>
  </si>
  <si>
    <t>Chart shows time as the x axis, value as the y axis and has lines for median, 25th percentile and 75th percentile all on the same chart</t>
  </si>
  <si>
    <t>Chart has meaningful title, labelled axes and only has no data other than the median, 25th percentile and 75th percentile.</t>
  </si>
  <si>
    <t>Reasonableness and auto checks 8 marks</t>
  </si>
  <si>
    <t>Final value of the 25th percentile</t>
  </si>
  <si>
    <t>annualised return</t>
  </si>
  <si>
    <t>Final value of the median</t>
  </si>
  <si>
    <t>Final value of the 75th percentile</t>
  </si>
  <si>
    <t>Cumulative frequency</t>
  </si>
  <si>
    <t>range start</t>
  </si>
  <si>
    <t>check</t>
  </si>
  <si>
    <t>Check that the annualised return of the 25th percentile is consistent with the return range in which the cumulative frequency reaches 25 and 26</t>
  </si>
  <si>
    <t>Check all projections are included in the return ranges for the distribution charts (i.e. a check that the sum of the numbers in each range is 100)</t>
  </si>
  <si>
    <t>Calculation formula correct</t>
  </si>
  <si>
    <t>Start of return range this falls into</t>
  </si>
  <si>
    <t>Year 1</t>
  </si>
  <si>
    <t>Year 2</t>
  </si>
  <si>
    <t>Year 3</t>
  </si>
  <si>
    <t>Year 4</t>
  </si>
  <si>
    <t>Year 5</t>
  </si>
  <si>
    <t>Year 6</t>
  </si>
  <si>
    <t>Year 7</t>
  </si>
  <si>
    <t>Year 8</t>
  </si>
  <si>
    <t>Year 9</t>
  </si>
  <si>
    <t>Year 10</t>
  </si>
  <si>
    <t>Projection 1</t>
  </si>
  <si>
    <t>Projection 2</t>
  </si>
  <si>
    <t>Projection 3</t>
  </si>
  <si>
    <t>Projection 4</t>
  </si>
  <si>
    <t>Projection 5</t>
  </si>
  <si>
    <t>Projection 6</t>
  </si>
  <si>
    <t>Projection 7</t>
  </si>
  <si>
    <t>Projection 8</t>
  </si>
  <si>
    <t>Projection 9</t>
  </si>
  <si>
    <t>Projection 10</t>
  </si>
  <si>
    <t>Projection 11</t>
  </si>
  <si>
    <t>Projection 12</t>
  </si>
  <si>
    <t>Projection 13</t>
  </si>
  <si>
    <t>Projection 14</t>
  </si>
  <si>
    <t>Projection 15</t>
  </si>
  <si>
    <t>Projection 16</t>
  </si>
  <si>
    <t>Projection 17</t>
  </si>
  <si>
    <t>Projection 18</t>
  </si>
  <si>
    <t>Projection 19</t>
  </si>
  <si>
    <t>Projection 20</t>
  </si>
  <si>
    <t>Projection 21</t>
  </si>
  <si>
    <t>Projection 22</t>
  </si>
  <si>
    <t>Projection 23</t>
  </si>
  <si>
    <t>Projection 24</t>
  </si>
  <si>
    <t>Projection 25</t>
  </si>
  <si>
    <t>Projection 26</t>
  </si>
  <si>
    <t>Projection 27</t>
  </si>
  <si>
    <t>Projection 28</t>
  </si>
  <si>
    <t>Projection 29</t>
  </si>
  <si>
    <t>Projection 30</t>
  </si>
  <si>
    <t>Projection 31</t>
  </si>
  <si>
    <t>Projection 32</t>
  </si>
  <si>
    <t>Projection 33</t>
  </si>
  <si>
    <t>Projection 34</t>
  </si>
  <si>
    <t>Projection 35</t>
  </si>
  <si>
    <t>Projection 36</t>
  </si>
  <si>
    <t>Projection 37</t>
  </si>
  <si>
    <t>Projection 38</t>
  </si>
  <si>
    <t>Projection 39</t>
  </si>
  <si>
    <t>Projection 40</t>
  </si>
  <si>
    <t>Projection 41</t>
  </si>
  <si>
    <t>Projection 42</t>
  </si>
  <si>
    <t>Projection 43</t>
  </si>
  <si>
    <t>Projection 44</t>
  </si>
  <si>
    <t>Projection 45</t>
  </si>
  <si>
    <t>Projection 46</t>
  </si>
  <si>
    <t>Projection 47</t>
  </si>
  <si>
    <t>Projection 48</t>
  </si>
  <si>
    <t>Projection 49</t>
  </si>
  <si>
    <t>Projection 50</t>
  </si>
  <si>
    <t>Projection 51</t>
  </si>
  <si>
    <t>Projection 52</t>
  </si>
  <si>
    <t>Projection 53</t>
  </si>
  <si>
    <t>Projection 54</t>
  </si>
  <si>
    <t>Projection 55</t>
  </si>
  <si>
    <t>Projection 56</t>
  </si>
  <si>
    <t>Projection 57</t>
  </si>
  <si>
    <t>Projection 58</t>
  </si>
  <si>
    <t>Projection 59</t>
  </si>
  <si>
    <t>Projection 60</t>
  </si>
  <si>
    <t>Projection 61</t>
  </si>
  <si>
    <t>Projection 62</t>
  </si>
  <si>
    <t>Projection 63</t>
  </si>
  <si>
    <t>Projection 64</t>
  </si>
  <si>
    <t>Projection 65</t>
  </si>
  <si>
    <t>Projection 66</t>
  </si>
  <si>
    <t>Projection 67</t>
  </si>
  <si>
    <t>Projection 68</t>
  </si>
  <si>
    <t>Projection 69</t>
  </si>
  <si>
    <t>Projection 70</t>
  </si>
  <si>
    <t>Projection 71</t>
  </si>
  <si>
    <t>Projection 72</t>
  </si>
  <si>
    <t>Projection 73</t>
  </si>
  <si>
    <t>Projection 74</t>
  </si>
  <si>
    <t>Projection 75</t>
  </si>
  <si>
    <t>Projection 76</t>
  </si>
  <si>
    <t>Projection 77</t>
  </si>
  <si>
    <t>Projection 78</t>
  </si>
  <si>
    <t>Projection 79</t>
  </si>
  <si>
    <t>Projection 80</t>
  </si>
  <si>
    <t>Projection 81</t>
  </si>
  <si>
    <t>Projection 82</t>
  </si>
  <si>
    <t>Projection 83</t>
  </si>
  <si>
    <t>Projection 84</t>
  </si>
  <si>
    <t>Projection 85</t>
  </si>
  <si>
    <t>Projection 86</t>
  </si>
  <si>
    <t>Projection 87</t>
  </si>
  <si>
    <t>Projection 88</t>
  </si>
  <si>
    <t>Projection 89</t>
  </si>
  <si>
    <t>Projection 90</t>
  </si>
  <si>
    <t>Projection 91</t>
  </si>
  <si>
    <t>Projection 92</t>
  </si>
  <si>
    <t>Projection 93</t>
  </si>
  <si>
    <t>Projection 94</t>
  </si>
  <si>
    <t>Projection 95</t>
  </si>
  <si>
    <t>Projection 96</t>
  </si>
  <si>
    <t>Projection 97</t>
  </si>
  <si>
    <t>Projection 98</t>
  </si>
  <si>
    <t>Projection 99</t>
  </si>
  <si>
    <t>Projection 100</t>
  </si>
  <si>
    <t>The returns are shaped in a positively skewed curve, with the top of the curve being somewhere in the 0 - 5% range, but the range from 5% - 10% also has a high frequency. All except 7 projections had average annualised returns of between -5% and 15%.</t>
  </si>
  <si>
    <t>of -1</t>
  </si>
  <si>
    <t>All the steps are correctly and clearly described</t>
  </si>
  <si>
    <t>There is sufficient technical detail</t>
  </si>
  <si>
    <t>The workbook is well labelled and is easy to navigate through</t>
  </si>
  <si>
    <t>Where there are, or could be errors, the audit trail would enable the student to identify and correct errors</t>
  </si>
  <si>
    <t>The audit trail is written in clear, crisp and flowing English</t>
  </si>
  <si>
    <t>Accurate spelling</t>
  </si>
  <si>
    <t>The audit trail is laid out well, with good formatting to aid clarity</t>
  </si>
  <si>
    <t>Data is introduced before referring to it</t>
  </si>
  <si>
    <t>Assumptions are stated before using them</t>
  </si>
  <si>
    <t>of 15</t>
  </si>
  <si>
    <t>Logical order (max 3 marks, enter -1 to deduct marks from this section) :</t>
  </si>
  <si>
    <t>AT is set out in the following order: Objectives, Data, Assumptions, Steps, Results. Reasonableness steps are linked to the approp methodology steps. There is a logical flow within each section of the AT</t>
  </si>
  <si>
    <t>All steps CLEARLY explained (max 7 marks) :</t>
  </si>
  <si>
    <t>The level of detail in the audit trail is appropriate for a newcomer to understand what has been done</t>
  </si>
  <si>
    <t>All the methodology steps are set out clearly</t>
  </si>
  <si>
    <t>Data provided and any necessary adjustments made are described and justified clearly.</t>
  </si>
  <si>
    <t>All reasonableness checks applied are adequately documented</t>
  </si>
  <si>
    <t>The marker does not need to look directly at the model to understand what has been performed</t>
  </si>
  <si>
    <t>Signposting / labelling CLEAR (max 5 marks) :</t>
  </si>
  <si>
    <t>The audit trail allows the user to follow the model through</t>
  </si>
  <si>
    <t>The audit trail allows the user to understand each calculation easily</t>
  </si>
  <si>
    <t>There is adequate signposting in the audit trail to describe the purpose of each tab</t>
  </si>
  <si>
    <t>There is adequate signposting in the audit trail to describe the general direction of the model</t>
  </si>
  <si>
    <t>Model labelling is consistent with the audit trail (data, parameters, scenarios, outputs, charts)</t>
  </si>
  <si>
    <t>of 12</t>
  </si>
  <si>
    <t>(1 each - maximum of 8)</t>
  </si>
  <si>
    <t>Purpose of this spreadsheet model</t>
  </si>
  <si>
    <t>Data Checks</t>
  </si>
  <si>
    <t>Assumptions</t>
  </si>
  <si>
    <t>The parameters used in this sheet are:
Initial Asset value (named range: "StartAssetValue") - this is the value of the asset at the start of the projection before any returns.
Number of years the projection (named range: "ProjectionLengthYears") - this is the number of years for which the projection is expected to run.
Number of projections (simulations) carried out (named range: "NumberSims") - this is the number of times the projection is to be repeated with different data.
Returns Ranges (named range: "DistributionRange") - this range holds the ranges over which the annualised average return will be grouped later on to plot a column chart of the distribution of the returns.</t>
  </si>
  <si>
    <t>Columns C:O show the projection of the asset value over time for each of the 100 projections. This is done by taking the initial or previous year's figure and multiplying it by 1+return for the year, where the return is the simulated return for that year and simulation from the data provided.</t>
  </si>
  <si>
    <t>Column D annualises this figure, using the formula (1+return over 10 years)^(1/ProjectionLengthYears) to give an average annual return.</t>
  </si>
  <si>
    <t>The lower quartile (25th percentile) is the 25.75th value as there are 100 values.  As it is not possible to pick out this value, I have estimated it by interpolating between the 25th and 26th lowest values, using the formula ((25th smallest value)+(26th smallest value*3))/4..
 I have picked out the 25th and 26th lowest values using the SMALL function.</t>
  </si>
  <si>
    <t>Likewise, the upper quartile (75th percentile) is the 75.25th value as there are 100 values.  I have estimated it by interpolating between the 75th and 76th lowest values, using the formula (3*(75th smallest value)+(76th smallest value))/4. 
I have again picked out the 75th and 76th lowest values using the SMALL function.
The quartiles and median for each year are used to produce the percentile projection chart.</t>
  </si>
  <si>
    <t>Checks on the initial data have been performed in the Checks sheet. Details of these sheets can be found in the "Checks" section of the audit trail.</t>
  </si>
  <si>
    <t>I have checked that there are 1,000 data points (10*100) and there are.</t>
  </si>
  <si>
    <t>I have then added some manual sense checks of the data to check the maximum and minimum value of the returns is sensible. The minimum is higher than -100% so that seems ok.   The maximum is 78% which is just over 3 standard deviations from the mean.  As  there are 1,000 data points, this doesn't seem unusual.</t>
  </si>
  <si>
    <t>Data
The first set of checks are to see whether the size of the returns data array is consistent with the number of years and projections in the projection. The sheet assumes that the data is in the format of years in columns and projections in rows, so it checks that the number of rows = NumberSims and that number of columns = ProjectionLengthYears.</t>
  </si>
  <si>
    <r>
      <rPr>
        <b/>
        <u/>
        <sz val="11"/>
        <color theme="1"/>
        <rFont val="Calibri"/>
        <family val="2"/>
        <scheme val="minor"/>
      </rPr>
      <t>Projections</t>
    </r>
    <r>
      <rPr>
        <sz val="11"/>
        <color theme="1"/>
        <rFont val="Calibri"/>
        <family val="2"/>
        <scheme val="minor"/>
      </rPr>
      <t xml:space="preserve">
I have checked the average asset value after 10 years with the growth that would have been achieved with the average growth rate i.e. 10,000 *…. There is a slight discrepancy, but not big enough to indicate an error.
</t>
    </r>
  </si>
  <si>
    <t xml:space="preserve">I've also checked that for each year min&lt;25th percentile &lt; median &lt; 75th percentile &lt; max by using If functions in the Projection statistics tab within each year. If in any year min&lt;25th percentile, or 25th percentile &lt; median or median &lt; 75th percentile or 75th percentile &lt; max then there will be a "check" appearing in the checks on the Projection statistics tab. </t>
  </si>
  <si>
    <t>The check on the Checks tab works by using a COUNTIF formula on the results of the automatic checks on the Projection Statistics tab to count how many instances of "check" there are in this range. If there are none, then this check will return "ok", otherwise it will return "check".</t>
  </si>
  <si>
    <t xml:space="preserve"> </t>
  </si>
  <si>
    <t>I've checked to make sure the asset value never goes negative.</t>
  </si>
  <si>
    <t>I've checked that the number of projections with a loss is between 0 and 100, as there are 100 projections.</t>
  </si>
  <si>
    <t>I've checked that the average loss is less than the starting value (as otherwise the fund would be negative).</t>
  </si>
  <si>
    <t>I've checked that all projections are included in the distribution chart by counting the total projections in the chart and making sure it equals 100.</t>
  </si>
  <si>
    <t>Parameters identified and set out in the parameters sheet</t>
  </si>
  <si>
    <t>(xi)</t>
  </si>
  <si>
    <t>(xii)</t>
  </si>
  <si>
    <t>(1 each - maximum of 4)</t>
  </si>
  <si>
    <t>This sheet contains the simulated returns, in the form of 10 columns and 10 rows. Additional data can be added by inserting rows or columns at the locations indicated on the sheet. 
The 10 columns indicate the length of the projection in years, and the number of columns in the data should match the number of years required for the projection.
The 100 rows indicate the number of projections carried out, and the number of rows in the data should match the number of projections required.
The data area has the named range "Return Data".</t>
  </si>
  <si>
    <t>StartAssetValue</t>
  </si>
  <si>
    <t>ProjectionLengthYears</t>
  </si>
  <si>
    <t>NumberSims</t>
  </si>
  <si>
    <t>DistributionRange</t>
  </si>
  <si>
    <t>There is adequate signposting of named ranges and parameters</t>
  </si>
  <si>
    <t>(xiii)</t>
  </si>
  <si>
    <t>of 5</t>
  </si>
  <si>
    <t>of 13</t>
  </si>
  <si>
    <t>Question v</t>
  </si>
  <si>
    <t>Question vi</t>
  </si>
  <si>
    <t>Q vii a</t>
  </si>
  <si>
    <t>Q vii b</t>
  </si>
  <si>
    <t>Q vii c</t>
  </si>
  <si>
    <t>Q vii d</t>
  </si>
  <si>
    <t>Q viii a</t>
  </si>
  <si>
    <t>Q viii b</t>
  </si>
  <si>
    <t>Q xi</t>
  </si>
  <si>
    <t>Q xii</t>
  </si>
  <si>
    <t>(iii)</t>
  </si>
  <si>
    <t>The returns from part (v) have been annualised correctly (i.e. by (1+x)^(1/10) -1 )</t>
  </si>
  <si>
    <t>of 33</t>
  </si>
  <si>
    <t>of  19</t>
  </si>
  <si>
    <t>Calculations correct - for example, the value at the end of the 10 years for the 100th run is: 7627.55</t>
  </si>
  <si>
    <t>Correct max for each year (10000 , 17290 , 20656.08 , 24964.37 , 31180.5 , 40066.95 , 46557.79 , 45340.33 , 50191.75 , 77646.64)</t>
  </si>
  <si>
    <t>Correct min for each year (10000 , 6840 , 4595.1 , 4705.38 , 4785.37 , 4239.84 , 3608.53 , 3094.5 , 2945.96 , 4035.97)</t>
  </si>
  <si>
    <t>Correct median for each of years 1 - 9 (10000 , 10570 , 11156.69 , 11670.69 , 12582.06 , 12362.83 , 13230.87 , 13252.31 , 13917.81 , 14453.81)</t>
  </si>
  <si>
    <t>Correct mean for each year (10000 , 10846.7 , 11313.62 , 12142.73 , 13159.48 , 13626.3 , 14712.53 , 15440.11 , 15823.77 , 16995.83)</t>
  </si>
  <si>
    <t>Correct count of number of projections which lose money (= 21)</t>
  </si>
  <si>
    <t>2 points for correct average loss ( = 2487.42) OR 1 points for correct average end value ( = 7512.58) OR 1 point for correct sum of projections with a loss ( = 157764.11)</t>
  </si>
  <si>
    <t>Correct number in each return range (= 4 , 17 , 32 , 30 , 14 , 2 , 1) - award one mark if at least 5 correct return ranges</t>
  </si>
  <si>
    <t>The methodology is not described in a logical order i.e. something is introduced which would require that the reader has read ahead</t>
  </si>
  <si>
    <t>The projection projects for 10 years and is repeated 100 times (once per run)</t>
  </si>
  <si>
    <t>Divide this by the number of projections to get the chance of losing money ( = 0.21)</t>
  </si>
  <si>
    <t>comparison of the asset value if it grew by the average growth value versus the average value after growth</t>
  </si>
  <si>
    <t>Check average loss is greater than zero</t>
  </si>
  <si>
    <t>Check that the annualised return of the median is consistent with the return range in which the cumulative frequency reaches 50</t>
  </si>
  <si>
    <t>Check that the annualised return of the 75th percentile is consistent with the return range in which the cumulative frequency reaches 75 and 76</t>
  </si>
  <si>
    <t>Areas where manual intervention or caution is required are well flagged within the audit trail (eg goalseeks or non-standard model areas)</t>
  </si>
  <si>
    <t>For a newcomer, the calculations are easy to follow i.e. the marker does not have to look at the audit trail to understand what has been done</t>
  </si>
  <si>
    <t>Lowest return range in which there are at least 75 in this range or below</t>
  </si>
  <si>
    <t>Lowest return range in which there are at least 50 in this range or below</t>
  </si>
  <si>
    <t>Lowest return range in which there are at least 25 in this range or below</t>
  </si>
  <si>
    <t xml:space="preserve">The purpose of this model is to simulate the behaviour of an investment over ten years to model the distribution of expected returns over the period.
This spreadsheet uses randomly generated returns to model the growth of an  asset over a number of years (10 years in the current model). 
The returns have been entered as 100 rows of 10 annual returns. The spreadsheet uses these to model 100 sets of 10 year projections. 
The spreadsheet  analyses these projections to pick out key statistics: the mean and median asset values, the minimum and maximum asset values and 25th and 75th percentiles.  Key amounts are plotted on a line chart.  
The spreadsheet also looks at how many projections lose money, and the average loss.  
The spreadsheet  also determines the distribution of the annualised returns over the 10 years and plots this on a chart.
</t>
  </si>
  <si>
    <t>The data provided is from a randomly generated set of numbers.
The data are representative of the expected distribution of returns for the Asset
The returns are either independent of previous returns (and so can be used in any order)  or if dependent, are to be used in the order they are given
Annual returns are not less than -100% but there is no upper limit.
There is no need to consider tax or other legislation</t>
  </si>
  <si>
    <t xml:space="preserve">Column C calculates the return over 10 years by comparing the starting figure and the end figure, using the formula: (Asset value at year 10) / (Asset value at year 0) -1 </t>
  </si>
  <si>
    <t>Columns G to V pick out the key statistics for each year: the min, max, mean, median and quartiles. The minima, maxima, mean and median values are found using the MIN, MAX AVERAGE and MEDIAN functions respectively.</t>
  </si>
  <si>
    <t xml:space="preserve">In columns X to AB, I have used a COUNTIF function to work out how many projections lost money by counting the number of projections with a final Asset Value of less than the starting Asset Value. The probability of losing money is then the number of runs which lost money, divided by the total number of projections.
I used a SUMIF to add up the total loss for the projections which showed a loss.  I then used this to work out the average loss, for the projections where there was a loss, as follows by dividing the SUMIF by the COUNTIF. Alternatively, I could have used an AVERAGEIF, but chose not to as this would mean the sheet would not be able to be opened in Excel 2003.
</t>
  </si>
  <si>
    <t>In columns AD to AK, I used COUNTIF functions to count the number of  annualised total returns in each of the return ranges provided.  These were used to draw the return distribution chart. 
I checked that all the returns were included in the return ranges by checking the total count.</t>
  </si>
  <si>
    <t>This chart takes its data from K9:U9, K12:U12 and K16:U16 in the projection and statistics tab</t>
  </si>
  <si>
    <t>This chart takes its data from AJ8:AJ14 in the projection and statistics tab</t>
  </si>
  <si>
    <t xml:space="preserve">I have checked that the 25th percentile value is consistent with the cumulative distribution created for the return distribution chart by checking that that the 25th percentile return would fall within the range of the 25th and 26th highest projections. Similarly, that the median value is consistent with the 50th highest projection, and that the 75th percentile is consistent with the 75th and 76th highest projections. </t>
  </si>
  <si>
    <t>Description of how the lower quartile values were calculated - could use the QUARTILE function, or calculate the 25th and 26th smallest values with either the "SMALL" "LARGE" "VLOOKUP" or "INDEX"/"OFFSET" &amp; "MATCH" &amp; "RANK" functions (or other suitable methods) and interpolate between these</t>
  </si>
  <si>
    <t>Description of how the upper quartile values were calculated - could use the QUARTILE function, or calculate the 75th and 76th smallest values with either the "SMALL" "LARGE" "VLOOKUP" or "INDEX"/"OFFSET" &amp; "MATCH" &amp; "RANK" functions (or other suitable methods) and interpolate between these</t>
  </si>
  <si>
    <t xml:space="preserve">Description of how the average loss, for those that lost money, was calculated. (suggested methods are: use of an "AVERAGEIF" function, or combined use of "SUMIF" and "COUNTIF", but other appropriate methods are acceptable) </t>
  </si>
  <si>
    <t>Description of how the returns were put into the return ranges (suggestion is use of COUTIFS function, or by first using an IF function to categorise the data, then a COUNTIF on those categories, but other valid methods are acceptable)</t>
  </si>
  <si>
    <t>2 points for correct 25th percentile  (10000 , 9330 , 9314.34 , 9599.03 , 9705.97 , 10501.58 , 10120.24 , 10104.82 , 10244.61 , 10741.72) - by either weighted average or use of the QUARTILE function
OR
1 point if the 25th lowest value has been calculated for each year, correct values are: (10000 , 9360 , 9353.51 , 9613.78 , 9820.32 , 10524.97 , 10133.76 , 10142.87 , 10279.45 , 10881.79)</t>
  </si>
  <si>
    <t>2 points for correct 75th percentile  (10000 , 12080 , 12521.83 , 14067.12 , 14979.61 , 15324.62 , 16852.42 , 17425.82 , 18626.93 ,19881.46) - by either weighted average or use of the QUARTILE function
OR
1 point if the 25th lowest value has been calculated for each year, correct values are: (10000 , 12082.5 , 12576.86 , 14067.22 , 15082.63 , 15404.98 , 16892.3 , 17446.16 , 18698.75 ,19905.02)</t>
  </si>
  <si>
    <t>Use of COUNTIF / COUNTIFS functions or similar to work out how many projections fall in each return category</t>
  </si>
  <si>
    <t>Fellow Analyst student can review, check and modify the model</t>
  </si>
  <si>
    <t>Written in clear English</t>
  </si>
  <si>
    <t xml:space="preserve">Danger areas in the spreadsheet are appropriately flagged (e.g. goal seek, formulae that don't copy down) </t>
  </si>
  <si>
    <t>Description of all checks on initial data (one mark per check documented, max 4)</t>
  </si>
</sst>
</file>

<file path=xl/styles.xml><?xml version="1.0" encoding="utf-8"?>
<styleSheet xmlns="http://schemas.openxmlformats.org/spreadsheetml/2006/main">
  <numFmts count="4">
    <numFmt numFmtId="43" formatCode="_-* #,##0.00_-;\-* #,##0.00_-;_-* &quot;-&quot;??_-;_-@_-"/>
    <numFmt numFmtId="164" formatCode="0.0%"/>
    <numFmt numFmtId="165" formatCode="&quot;£&quot;#,##0.00"/>
    <numFmt numFmtId="166" formatCode="_-* #,##0_-;\-* #,##0_-;_-* &quot;-&quot;??_-;_-@_-"/>
  </numFmts>
  <fonts count="2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0"/>
      <name val="Arial"/>
      <family val="2"/>
    </font>
    <font>
      <b/>
      <sz val="12"/>
      <name val="Arial"/>
      <family val="2"/>
    </font>
    <font>
      <b/>
      <sz val="12"/>
      <color indexed="12"/>
      <name val="Arial"/>
      <family val="2"/>
    </font>
    <font>
      <u/>
      <sz val="10"/>
      <color indexed="12"/>
      <name val="Arial"/>
      <family val="2"/>
    </font>
    <font>
      <u/>
      <sz val="12"/>
      <color indexed="12"/>
      <name val="Arial"/>
      <family val="2"/>
    </font>
    <font>
      <u/>
      <sz val="10"/>
      <name val="Arial"/>
      <family val="2"/>
    </font>
    <font>
      <b/>
      <sz val="11"/>
      <color indexed="12"/>
      <name val="Arial"/>
      <family val="2"/>
    </font>
    <font>
      <sz val="11"/>
      <name val="Arial"/>
      <family val="2"/>
    </font>
    <font>
      <b/>
      <sz val="11"/>
      <name val="Arial"/>
      <family val="2"/>
    </font>
    <font>
      <sz val="11"/>
      <name val="ITC Stone Serif Semi"/>
    </font>
    <font>
      <b/>
      <sz val="10"/>
      <color indexed="12"/>
      <name val="Arial"/>
      <family val="2"/>
    </font>
    <font>
      <sz val="10"/>
      <color indexed="12"/>
      <name val="Arial"/>
      <family val="2"/>
    </font>
    <font>
      <sz val="10"/>
      <color theme="5"/>
      <name val="Arial"/>
      <family val="2"/>
    </font>
    <font>
      <sz val="10"/>
      <color rgb="FFFF0000"/>
      <name val="Arial"/>
      <family val="2"/>
    </font>
    <font>
      <b/>
      <sz val="10"/>
      <name val="Arial"/>
      <family val="2"/>
    </font>
    <font>
      <b/>
      <sz val="11"/>
      <color theme="3"/>
      <name val="Calibri"/>
      <family val="2"/>
      <scheme val="minor"/>
    </font>
    <font>
      <b/>
      <sz val="11"/>
      <color theme="1"/>
      <name val="Calibri"/>
      <family val="2"/>
      <scheme val="minor"/>
    </font>
    <font>
      <sz val="10"/>
      <color theme="1"/>
      <name val="Arial"/>
      <family val="2"/>
    </font>
    <font>
      <sz val="11"/>
      <color rgb="FFFF0000"/>
      <name val="Calibri"/>
      <family val="2"/>
      <scheme val="minor"/>
    </font>
    <font>
      <u/>
      <sz val="11"/>
      <color rgb="FFFF0000"/>
      <name val="Calibri"/>
      <family val="2"/>
      <scheme val="minor"/>
    </font>
    <font>
      <b/>
      <u/>
      <sz val="11"/>
      <color theme="1"/>
      <name val="Calibri"/>
      <family val="2"/>
      <scheme val="minor"/>
    </font>
    <font>
      <i/>
      <sz val="11"/>
      <color rgb="FF7F7F7F"/>
      <name val="Calibri"/>
      <family val="2"/>
      <scheme val="minor"/>
    </font>
    <font>
      <i/>
      <sz val="10"/>
      <color rgb="FF7F7F7F"/>
      <name val="Calibri"/>
      <family val="2"/>
      <scheme val="minor"/>
    </font>
  </fonts>
  <fills count="5">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
      <patternFill patternType="solid">
        <fgColor indexed="26"/>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22"/>
      </right>
      <top style="thin">
        <color indexed="22"/>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thin">
        <color theme="7" tint="-0.249977111117893"/>
      </bottom>
      <diagonal/>
    </border>
    <border>
      <left/>
      <right style="thin">
        <color theme="7" tint="-0.249977111117893"/>
      </right>
      <top/>
      <bottom style="thin">
        <color theme="7" tint="-0.249977111117893"/>
      </bottom>
      <diagonal/>
    </border>
    <border>
      <left/>
      <right style="thin">
        <color theme="7" tint="-0.249977111117893"/>
      </right>
      <top/>
      <bottom/>
      <diagonal/>
    </border>
    <border>
      <left style="thin">
        <color theme="7" tint="-0.249977111117893"/>
      </left>
      <right style="thin">
        <color theme="0"/>
      </right>
      <top style="thin">
        <color theme="7" tint="-0.249977111117893"/>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style="thin">
        <color theme="7" tint="-0.249977111117893"/>
      </left>
      <right style="thin">
        <color theme="0"/>
      </right>
      <top/>
      <bottom/>
      <diagonal/>
    </border>
    <border>
      <left style="thin">
        <color theme="0"/>
      </left>
      <right/>
      <top/>
      <bottom style="thin">
        <color theme="7" tint="-0.249977111117893"/>
      </bottom>
      <diagonal/>
    </border>
    <border>
      <left/>
      <right/>
      <top style="thin">
        <color theme="7" tint="-0.249977111117893"/>
      </top>
      <bottom style="thin">
        <color theme="0"/>
      </bottom>
      <diagonal/>
    </border>
    <border>
      <left style="thin">
        <color theme="7" tint="-0.249977111117893"/>
      </left>
      <right/>
      <top/>
      <bottom/>
      <diagonal/>
    </border>
    <border>
      <left style="medium">
        <color indexed="64"/>
      </left>
      <right style="thin">
        <color indexed="22"/>
      </right>
      <top/>
      <bottom/>
      <diagonal/>
    </border>
    <border>
      <left/>
      <right style="thin">
        <color theme="7" tint="-0.499984740745262"/>
      </right>
      <top/>
      <bottom/>
      <diagonal/>
    </border>
    <border>
      <left/>
      <right style="thin">
        <color theme="7" tint="-0.499984740745262"/>
      </right>
      <top/>
      <bottom style="thin">
        <color theme="7" tint="-0.499984740745262"/>
      </bottom>
      <diagonal/>
    </border>
    <border>
      <left/>
      <right/>
      <top/>
      <bottom style="thin">
        <color theme="7" tint="-0.499984740745262"/>
      </bottom>
      <diagonal/>
    </border>
    <border>
      <left/>
      <right/>
      <top style="thick">
        <color theme="4" tint="0.499984740745262"/>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7" tint="-0.249977111117893"/>
      </left>
      <right/>
      <top/>
      <bottom style="thin">
        <color rgb="FFFF0000"/>
      </bottom>
      <diagonal/>
    </border>
    <border>
      <left/>
      <right/>
      <top/>
      <bottom style="thin">
        <color rgb="FFFF0000"/>
      </bottom>
      <diagonal/>
    </border>
    <border>
      <left/>
      <right style="thin">
        <color rgb="FFFF0000"/>
      </right>
      <top/>
      <bottom/>
      <diagonal/>
    </border>
    <border>
      <left/>
      <right style="thin">
        <color rgb="FFFF0000"/>
      </right>
      <top style="thin">
        <color theme="0"/>
      </top>
      <bottom style="thin">
        <color theme="0"/>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style="thin">
        <color indexed="22"/>
      </right>
      <top style="thin">
        <color indexed="22"/>
      </top>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4" fillId="0" borderId="0"/>
    <xf numFmtId="0" fontId="7" fillId="0" borderId="0" applyNumberFormat="0" applyFill="0" applyBorder="0" applyAlignment="0" applyProtection="0">
      <alignment vertical="top"/>
      <protection locked="0"/>
    </xf>
    <xf numFmtId="0" fontId="1" fillId="3" borderId="20" applyNumberFormat="0">
      <protection locked="0"/>
    </xf>
    <xf numFmtId="0" fontId="19" fillId="0" borderId="0" applyNumberFormat="0" applyFill="0" applyBorder="0" applyAlignment="0" applyProtection="0"/>
    <xf numFmtId="0" fontId="22" fillId="0" borderId="0" applyNumberFormat="0" applyFill="0" applyBorder="0" applyAlignment="0" applyProtection="0"/>
    <xf numFmtId="0" fontId="25" fillId="0" borderId="0" applyNumberFormat="0" applyFill="0" applyBorder="0" applyAlignment="0" applyProtection="0"/>
  </cellStyleXfs>
  <cellXfs count="172">
    <xf numFmtId="0" fontId="0" fillId="0" borderId="0" xfId="0"/>
    <xf numFmtId="164" fontId="0" fillId="0" borderId="0" xfId="0" applyNumberFormat="1"/>
    <xf numFmtId="0" fontId="4" fillId="0" borderId="0" xfId="7" applyProtection="1"/>
    <xf numFmtId="0" fontId="5" fillId="0" borderId="0" xfId="7" applyFont="1" applyAlignment="1" applyProtection="1">
      <alignment horizontal="right" vertical="center"/>
    </xf>
    <xf numFmtId="0" fontId="6" fillId="0" borderId="0" xfId="7" applyFont="1" applyProtection="1"/>
    <xf numFmtId="0" fontId="5" fillId="0" borderId="0" xfId="7" applyFont="1" applyAlignment="1" applyProtection="1">
      <alignment horizontal="right"/>
    </xf>
    <xf numFmtId="0" fontId="6" fillId="0" borderId="0" xfId="7" applyFont="1" applyAlignment="1" applyProtection="1">
      <alignment horizontal="center"/>
    </xf>
    <xf numFmtId="0" fontId="5" fillId="0" borderId="0" xfId="7" quotePrefix="1" applyFont="1" applyAlignment="1" applyProtection="1">
      <alignment horizontal="center" wrapText="1"/>
    </xf>
    <xf numFmtId="0" fontId="4" fillId="0" borderId="0" xfId="7"/>
    <xf numFmtId="0" fontId="8" fillId="0" borderId="0" xfId="8" applyFont="1" applyAlignment="1" applyProtection="1">
      <alignment vertical="center"/>
    </xf>
    <xf numFmtId="0" fontId="4" fillId="0" borderId="0" xfId="7" applyFont="1" applyAlignment="1" applyProtection="1">
      <alignment wrapText="1"/>
    </xf>
    <xf numFmtId="0" fontId="9" fillId="0" borderId="0" xfId="7" applyFont="1" applyProtection="1"/>
    <xf numFmtId="0" fontId="10" fillId="0" borderId="3" xfId="7" applyFont="1" applyBorder="1" applyAlignment="1" applyProtection="1">
      <alignment horizontal="center"/>
    </xf>
    <xf numFmtId="0" fontId="11" fillId="0" borderId="4" xfId="7" applyFont="1" applyBorder="1" applyAlignment="1" applyProtection="1">
      <alignment horizontal="left"/>
    </xf>
    <xf numFmtId="0" fontId="12" fillId="0" borderId="4" xfId="7" applyFont="1" applyBorder="1" applyAlignment="1" applyProtection="1">
      <alignment vertical="center"/>
    </xf>
    <xf numFmtId="0" fontId="4" fillId="0" borderId="4" xfId="7" applyBorder="1" applyProtection="1"/>
    <xf numFmtId="0" fontId="12" fillId="0" borderId="5" xfId="7" applyFont="1" applyBorder="1" applyProtection="1"/>
    <xf numFmtId="0" fontId="4" fillId="0" borderId="0" xfId="7" applyBorder="1" applyProtection="1"/>
    <xf numFmtId="0" fontId="5" fillId="0" borderId="0" xfId="7" applyFont="1" applyAlignment="1" applyProtection="1">
      <alignment wrapText="1"/>
    </xf>
    <xf numFmtId="0" fontId="4" fillId="0" borderId="6" xfId="7" applyBorder="1" applyProtection="1"/>
    <xf numFmtId="0" fontId="4" fillId="0" borderId="7" xfId="7" applyBorder="1" applyProtection="1"/>
    <xf numFmtId="0" fontId="13" fillId="0" borderId="0" xfId="7" applyFont="1"/>
    <xf numFmtId="0" fontId="14" fillId="4" borderId="8" xfId="7" quotePrefix="1" applyFont="1" applyFill="1" applyBorder="1" applyAlignment="1" applyProtection="1">
      <alignment horizontal="center" wrapText="1"/>
      <protection locked="0"/>
    </xf>
    <xf numFmtId="0" fontId="4" fillId="0" borderId="0" xfId="7" applyBorder="1" applyAlignment="1" applyProtection="1">
      <alignment horizontal="left"/>
    </xf>
    <xf numFmtId="0" fontId="4" fillId="0" borderId="0" xfId="7" applyBorder="1" applyAlignment="1" applyProtection="1">
      <alignment vertical="center"/>
    </xf>
    <xf numFmtId="0" fontId="15" fillId="4" borderId="9" xfId="7" applyFont="1" applyFill="1" applyBorder="1" applyAlignment="1" applyProtection="1">
      <alignment horizontal="left" vertical="center" wrapText="1"/>
      <protection locked="0"/>
    </xf>
    <xf numFmtId="0" fontId="4" fillId="0" borderId="0" xfId="7" applyFont="1" applyBorder="1" applyAlignment="1" applyProtection="1">
      <alignment vertical="center" wrapText="1"/>
    </xf>
    <xf numFmtId="0" fontId="15" fillId="4" borderId="9" xfId="7" applyFont="1" applyFill="1" applyBorder="1" applyAlignment="1" applyProtection="1">
      <alignment vertical="center" wrapText="1"/>
      <protection locked="0"/>
    </xf>
    <xf numFmtId="0" fontId="14" fillId="4" borderId="10" xfId="7" quotePrefix="1" applyFont="1" applyFill="1" applyBorder="1" applyAlignment="1" applyProtection="1">
      <alignment horizontal="center" wrapText="1"/>
      <protection locked="0"/>
    </xf>
    <xf numFmtId="0" fontId="4" fillId="0" borderId="11" xfId="7" applyBorder="1" applyAlignment="1" applyProtection="1">
      <alignment vertical="center"/>
    </xf>
    <xf numFmtId="0" fontId="4" fillId="0" borderId="11" xfId="7" applyBorder="1" applyProtection="1"/>
    <xf numFmtId="0" fontId="4" fillId="0" borderId="12" xfId="7" applyBorder="1" applyProtection="1"/>
    <xf numFmtId="0" fontId="11" fillId="0" borderId="4" xfId="7" applyFont="1" applyBorder="1" applyProtection="1"/>
    <xf numFmtId="0" fontId="4" fillId="0" borderId="5" xfId="7" applyBorder="1" applyProtection="1"/>
    <xf numFmtId="0" fontId="14" fillId="4" borderId="8" xfId="7" applyFont="1" applyFill="1" applyBorder="1" applyAlignment="1" applyProtection="1">
      <alignment horizontal="center" wrapText="1"/>
      <protection locked="0"/>
    </xf>
    <xf numFmtId="0" fontId="4" fillId="0" borderId="0" xfId="7" applyFill="1"/>
    <xf numFmtId="0" fontId="14" fillId="4" borderId="13" xfId="7" applyFont="1" applyFill="1" applyBorder="1" applyAlignment="1" applyProtection="1">
      <alignment horizontal="center" wrapText="1"/>
      <protection locked="0"/>
    </xf>
    <xf numFmtId="0" fontId="4" fillId="0" borderId="14" xfId="7" applyBorder="1" applyProtection="1"/>
    <xf numFmtId="0" fontId="4" fillId="0" borderId="14" xfId="7" applyBorder="1" applyAlignment="1" applyProtection="1">
      <alignment vertical="center"/>
    </xf>
    <xf numFmtId="0" fontId="4" fillId="0" borderId="15" xfId="7" applyBorder="1" applyProtection="1"/>
    <xf numFmtId="0" fontId="14" fillId="0" borderId="0" xfId="7" applyFont="1" applyFill="1" applyBorder="1" applyAlignment="1" applyProtection="1">
      <alignment horizontal="center" wrapText="1"/>
      <protection locked="0"/>
    </xf>
    <xf numFmtId="0" fontId="12" fillId="0" borderId="0" xfId="7" applyFont="1" applyProtection="1"/>
    <xf numFmtId="0" fontId="4" fillId="0" borderId="0" xfId="7" applyBorder="1" applyAlignment="1" applyProtection="1">
      <alignment horizontal="right"/>
    </xf>
    <xf numFmtId="0" fontId="16" fillId="4" borderId="9" xfId="7" applyFont="1" applyFill="1" applyBorder="1" applyAlignment="1" applyProtection="1">
      <alignment horizontal="right" vertical="center" wrapText="1"/>
      <protection locked="0"/>
    </xf>
    <xf numFmtId="0" fontId="16" fillId="0" borderId="0" xfId="7" applyFont="1" applyProtection="1"/>
    <xf numFmtId="0" fontId="14" fillId="0" borderId="13" xfId="7" applyFont="1" applyFill="1" applyBorder="1" applyAlignment="1" applyProtection="1">
      <alignment horizontal="center" wrapText="1"/>
      <protection locked="0"/>
    </xf>
    <xf numFmtId="0" fontId="4" fillId="0" borderId="6" xfId="7" applyFont="1" applyFill="1" applyBorder="1" applyAlignment="1" applyProtection="1">
      <alignment horizontal="center" wrapText="1"/>
    </xf>
    <xf numFmtId="0" fontId="4" fillId="0" borderId="0" xfId="7" applyFont="1" applyBorder="1" applyProtection="1"/>
    <xf numFmtId="0" fontId="4" fillId="0" borderId="0" xfId="7" applyFont="1" applyBorder="1" applyAlignment="1" applyProtection="1">
      <alignment horizontal="left"/>
    </xf>
    <xf numFmtId="0" fontId="4" fillId="0" borderId="0" xfId="7" applyFont="1" applyBorder="1" applyAlignment="1" applyProtection="1">
      <alignment horizontal="left" vertical="center"/>
    </xf>
    <xf numFmtId="0" fontId="4" fillId="0" borderId="0" xfId="7" applyFill="1" applyBorder="1" applyAlignment="1" applyProtection="1">
      <alignment horizontal="left" vertical="center"/>
    </xf>
    <xf numFmtId="0" fontId="14" fillId="0" borderId="8" xfId="7" applyFont="1" applyFill="1" applyBorder="1" applyAlignment="1" applyProtection="1">
      <alignment horizontal="center" wrapText="1"/>
      <protection locked="0"/>
    </xf>
    <xf numFmtId="0" fontId="12" fillId="0" borderId="0" xfId="7" applyFont="1" applyBorder="1" applyAlignment="1" applyProtection="1">
      <alignment vertical="center"/>
    </xf>
    <xf numFmtId="0" fontId="17" fillId="0" borderId="0" xfId="7" applyFont="1" applyProtection="1"/>
    <xf numFmtId="0" fontId="4" fillId="0" borderId="0" xfId="7" applyBorder="1" applyAlignment="1" applyProtection="1">
      <alignment horizontal="left" vertical="center"/>
    </xf>
    <xf numFmtId="0" fontId="4" fillId="0" borderId="0" xfId="7" quotePrefix="1" applyFont="1" applyBorder="1" applyAlignment="1" applyProtection="1">
      <alignment horizontal="left" vertical="center"/>
    </xf>
    <xf numFmtId="0" fontId="14" fillId="4" borderId="10" xfId="7" applyFont="1" applyFill="1" applyBorder="1" applyAlignment="1" applyProtection="1">
      <alignment horizontal="center" wrapText="1"/>
      <protection locked="0"/>
    </xf>
    <xf numFmtId="0" fontId="4" fillId="0" borderId="11" xfId="7" applyFont="1" applyBorder="1" applyAlignment="1" applyProtection="1">
      <alignment horizontal="left" vertical="center"/>
    </xf>
    <xf numFmtId="0" fontId="4" fillId="0" borderId="0" xfId="7" applyFont="1" applyAlignment="1" applyProtection="1">
      <alignment vertical="center" wrapText="1"/>
    </xf>
    <xf numFmtId="0" fontId="14" fillId="0" borderId="6" xfId="7" applyFont="1" applyBorder="1" applyAlignment="1" applyProtection="1">
      <alignment horizontal="center"/>
    </xf>
    <xf numFmtId="0" fontId="18" fillId="0" borderId="0" xfId="7" quotePrefix="1" applyFont="1" applyBorder="1" applyAlignment="1" applyProtection="1">
      <alignment horizontal="left" vertical="center"/>
    </xf>
    <xf numFmtId="0" fontId="4" fillId="0" borderId="7" xfId="7" applyFont="1" applyBorder="1" applyProtection="1"/>
    <xf numFmtId="0" fontId="4" fillId="0" borderId="0" xfId="7" quotePrefix="1" applyFont="1" applyBorder="1" applyAlignment="1" applyProtection="1">
      <alignment horizontal="left" indent="1"/>
    </xf>
    <xf numFmtId="0" fontId="4" fillId="0" borderId="16" xfId="7" applyBorder="1" applyProtection="1"/>
    <xf numFmtId="0" fontId="4" fillId="0" borderId="11" xfId="7" quotePrefix="1" applyFill="1" applyBorder="1" applyAlignment="1" applyProtection="1">
      <alignment horizontal="left" vertical="center"/>
    </xf>
    <xf numFmtId="0" fontId="4" fillId="0" borderId="0" xfId="7" applyFont="1" applyFill="1" applyBorder="1" applyAlignment="1" applyProtection="1">
      <alignment horizontal="center" wrapText="1"/>
    </xf>
    <xf numFmtId="0" fontId="18" fillId="0" borderId="0" xfId="7" applyFont="1" applyProtection="1"/>
    <xf numFmtId="0" fontId="4" fillId="0" borderId="0" xfId="7" applyFill="1" applyBorder="1" applyProtection="1"/>
    <xf numFmtId="0" fontId="1" fillId="2" borderId="0" xfId="5"/>
    <xf numFmtId="0" fontId="1" fillId="2" borderId="17" xfId="5" applyBorder="1"/>
    <xf numFmtId="0" fontId="1" fillId="2" borderId="18" xfId="5" applyBorder="1"/>
    <xf numFmtId="0" fontId="1" fillId="2" borderId="19" xfId="5" applyBorder="1"/>
    <xf numFmtId="164" fontId="1" fillId="2" borderId="19" xfId="5" applyNumberFormat="1" applyBorder="1"/>
    <xf numFmtId="0" fontId="0" fillId="0" borderId="21" xfId="0" applyBorder="1"/>
    <xf numFmtId="0" fontId="0" fillId="0" borderId="22" xfId="0" applyBorder="1"/>
    <xf numFmtId="0" fontId="3" fillId="2" borderId="2" xfId="4" applyFill="1"/>
    <xf numFmtId="0" fontId="2" fillId="2" borderId="1" xfId="3" applyFill="1"/>
    <xf numFmtId="164" fontId="1" fillId="3" borderId="0" xfId="2" applyNumberFormat="1" applyFill="1" applyBorder="1" applyProtection="1">
      <protection locked="0"/>
    </xf>
    <xf numFmtId="164" fontId="1" fillId="3" borderId="23" xfId="2" applyNumberFormat="1" applyFill="1" applyBorder="1" applyProtection="1">
      <protection locked="0"/>
    </xf>
    <xf numFmtId="164" fontId="1" fillId="3" borderId="22" xfId="2" applyNumberFormat="1" applyFill="1" applyBorder="1" applyProtection="1">
      <protection locked="0"/>
    </xf>
    <xf numFmtId="164" fontId="1" fillId="3" borderId="21" xfId="2" applyNumberFormat="1" applyFill="1" applyBorder="1" applyProtection="1">
      <protection locked="0"/>
    </xf>
    <xf numFmtId="165" fontId="1" fillId="3" borderId="20" xfId="6" applyNumberFormat="1" applyBorder="1" applyProtection="1">
      <protection locked="0"/>
    </xf>
    <xf numFmtId="0" fontId="14" fillId="0" borderId="6" xfId="7" applyFont="1" applyFill="1" applyBorder="1" applyAlignment="1" applyProtection="1">
      <alignment horizontal="center" wrapText="1"/>
      <protection locked="0"/>
    </xf>
    <xf numFmtId="43" fontId="1" fillId="2" borderId="0" xfId="5" applyNumberFormat="1"/>
    <xf numFmtId="164" fontId="1" fillId="2" borderId="0" xfId="5" applyNumberFormat="1"/>
    <xf numFmtId="0" fontId="0" fillId="2" borderId="0" xfId="5" applyFont="1"/>
    <xf numFmtId="0" fontId="1" fillId="3" borderId="20" xfId="9">
      <protection locked="0"/>
    </xf>
    <xf numFmtId="43" fontId="1" fillId="2" borderId="0" xfId="1" applyFill="1"/>
    <xf numFmtId="9" fontId="1" fillId="2" borderId="0" xfId="5" applyNumberFormat="1"/>
    <xf numFmtId="0" fontId="20" fillId="2" borderId="0" xfId="5" applyFont="1"/>
    <xf numFmtId="0" fontId="19" fillId="2" borderId="0" xfId="10" applyFill="1"/>
    <xf numFmtId="0" fontId="20" fillId="2" borderId="0" xfId="5" applyFont="1" applyAlignment="1">
      <alignment wrapText="1"/>
    </xf>
    <xf numFmtId="0" fontId="20" fillId="2" borderId="0" xfId="5" applyFont="1" applyAlignment="1"/>
    <xf numFmtId="43" fontId="1" fillId="2" borderId="19" xfId="5" applyNumberFormat="1" applyBorder="1"/>
    <xf numFmtId="0" fontId="0" fillId="0" borderId="24" xfId="0" applyBorder="1"/>
    <xf numFmtId="43" fontId="0" fillId="0" borderId="24" xfId="1" applyFont="1" applyBorder="1"/>
    <xf numFmtId="166" fontId="1" fillId="2" borderId="0" xfId="5" applyNumberFormat="1"/>
    <xf numFmtId="164" fontId="1" fillId="2" borderId="0" xfId="2" applyNumberFormat="1" applyFill="1"/>
    <xf numFmtId="0" fontId="1" fillId="2" borderId="25" xfId="5" applyBorder="1"/>
    <xf numFmtId="0" fontId="0" fillId="2" borderId="0" xfId="5" applyFont="1" applyAlignment="1">
      <alignment horizontal="right"/>
    </xf>
    <xf numFmtId="0" fontId="0" fillId="0" borderId="26" xfId="0" applyBorder="1"/>
    <xf numFmtId="0" fontId="0" fillId="2" borderId="0" xfId="5" applyFont="1" applyAlignment="1">
      <alignment wrapText="1"/>
    </xf>
    <xf numFmtId="0" fontId="1" fillId="2" borderId="0" xfId="5" applyAlignment="1">
      <alignment wrapText="1"/>
    </xf>
    <xf numFmtId="0" fontId="17" fillId="0" borderId="0" xfId="7" applyFont="1"/>
    <xf numFmtId="0" fontId="17" fillId="0" borderId="0" xfId="7" applyFont="1" applyBorder="1" applyAlignment="1" applyProtection="1">
      <alignment vertical="center"/>
    </xf>
    <xf numFmtId="0" fontId="21" fillId="0" borderId="0" xfId="7" applyFont="1" applyBorder="1" applyAlignment="1" applyProtection="1">
      <alignment vertical="center"/>
    </xf>
    <xf numFmtId="0" fontId="21" fillId="0" borderId="0" xfId="7" applyFont="1"/>
    <xf numFmtId="164" fontId="0" fillId="2" borderId="0" xfId="5" applyNumberFormat="1" applyFont="1" applyAlignment="1">
      <alignment wrapText="1"/>
    </xf>
    <xf numFmtId="164" fontId="1" fillId="2" borderId="0" xfId="5" applyNumberFormat="1" applyAlignment="1">
      <alignment wrapText="1"/>
    </xf>
    <xf numFmtId="0" fontId="1" fillId="2" borderId="17" xfId="5" applyBorder="1" applyAlignment="1">
      <alignment wrapText="1"/>
    </xf>
    <xf numFmtId="0" fontId="1" fillId="2" borderId="0" xfId="5" applyAlignment="1">
      <alignment horizontal="right"/>
    </xf>
    <xf numFmtId="0" fontId="0" fillId="0" borderId="27" xfId="0" applyBorder="1"/>
    <xf numFmtId="0" fontId="0" fillId="0" borderId="0" xfId="0" applyBorder="1"/>
    <xf numFmtId="0" fontId="17" fillId="0" borderId="7" xfId="7" applyFont="1" applyBorder="1" applyProtection="1"/>
    <xf numFmtId="0" fontId="17" fillId="0" borderId="0" xfId="7" applyFont="1" applyBorder="1" applyAlignment="1" applyProtection="1">
      <alignment horizontal="left" vertical="center"/>
    </xf>
    <xf numFmtId="0" fontId="17" fillId="0" borderId="7" xfId="7" applyFont="1" applyBorder="1" applyAlignment="1" applyProtection="1">
      <alignment horizontal="center"/>
    </xf>
    <xf numFmtId="0" fontId="22" fillId="0" borderId="0" xfId="0" applyFont="1"/>
    <xf numFmtId="0" fontId="23" fillId="0" borderId="0" xfId="0" applyFont="1"/>
    <xf numFmtId="0" fontId="1" fillId="2" borderId="0" xfId="5" applyBorder="1" applyAlignment="1">
      <alignment wrapText="1"/>
    </xf>
    <xf numFmtId="0" fontId="0" fillId="2" borderId="0" xfId="5" applyFont="1" applyBorder="1" applyAlignment="1">
      <alignment wrapText="1"/>
    </xf>
    <xf numFmtId="9" fontId="1" fillId="3" borderId="20" xfId="2" applyFill="1" applyBorder="1" applyProtection="1">
      <protection locked="0"/>
    </xf>
    <xf numFmtId="9" fontId="1" fillId="2" borderId="0" xfId="2" applyFill="1"/>
    <xf numFmtId="0" fontId="0" fillId="2" borderId="19" xfId="5" applyFont="1" applyBorder="1" applyAlignment="1">
      <alignment wrapText="1"/>
    </xf>
    <xf numFmtId="0" fontId="22" fillId="0" borderId="0" xfId="11"/>
    <xf numFmtId="0" fontId="1" fillId="2" borderId="29" xfId="5" applyBorder="1"/>
    <xf numFmtId="0" fontId="1" fillId="2" borderId="31" xfId="5" applyBorder="1"/>
    <xf numFmtId="0" fontId="1" fillId="2" borderId="30" xfId="5" applyBorder="1"/>
    <xf numFmtId="0" fontId="4" fillId="0" borderId="28" xfId="7" applyBorder="1" applyAlignment="1" applyProtection="1">
      <alignment wrapText="1"/>
    </xf>
    <xf numFmtId="0" fontId="4" fillId="0" borderId="0" xfId="7" applyBorder="1" applyAlignment="1" applyProtection="1">
      <alignment wrapText="1"/>
    </xf>
    <xf numFmtId="10" fontId="1" fillId="2" borderId="0" xfId="2" applyNumberFormat="1" applyFill="1"/>
    <xf numFmtId="9" fontId="1" fillId="2" borderId="0" xfId="2" applyNumberFormat="1" applyFill="1"/>
    <xf numFmtId="0" fontId="1" fillId="2" borderId="0" xfId="5" applyBorder="1"/>
    <xf numFmtId="0" fontId="19" fillId="2" borderId="17" xfId="10" applyFill="1" applyBorder="1"/>
    <xf numFmtId="0" fontId="19" fillId="2" borderId="32" xfId="10" applyFill="1" applyBorder="1"/>
    <xf numFmtId="0" fontId="1" fillId="2" borderId="33" xfId="5" applyBorder="1"/>
    <xf numFmtId="0" fontId="19" fillId="2" borderId="19" xfId="10" applyFill="1" applyBorder="1"/>
    <xf numFmtId="0" fontId="0" fillId="0" borderId="34" xfId="0" applyBorder="1"/>
    <xf numFmtId="0" fontId="0" fillId="0" borderId="35" xfId="0" applyBorder="1"/>
    <xf numFmtId="0" fontId="0" fillId="0" borderId="36" xfId="0" applyBorder="1"/>
    <xf numFmtId="0" fontId="22" fillId="0" borderId="37" xfId="11" applyBorder="1"/>
    <xf numFmtId="0" fontId="0" fillId="0" borderId="38" xfId="0" applyBorder="1"/>
    <xf numFmtId="0" fontId="0" fillId="0" borderId="39" xfId="0" applyBorder="1"/>
    <xf numFmtId="0" fontId="0" fillId="0" borderId="40" xfId="0" applyBorder="1"/>
    <xf numFmtId="0" fontId="15" fillId="4" borderId="0" xfId="7" applyFont="1" applyFill="1" applyBorder="1" applyAlignment="1" applyProtection="1">
      <alignment horizontal="left" vertical="center" wrapText="1"/>
      <protection locked="0"/>
    </xf>
    <xf numFmtId="0" fontId="15" fillId="4" borderId="0" xfId="7" applyFont="1" applyFill="1" applyBorder="1" applyAlignment="1" applyProtection="1">
      <alignment vertical="center" wrapText="1"/>
      <protection locked="0"/>
    </xf>
    <xf numFmtId="0" fontId="10" fillId="0" borderId="6" xfId="7" applyFont="1" applyBorder="1" applyAlignment="1" applyProtection="1">
      <alignment horizontal="center"/>
    </xf>
    <xf numFmtId="0" fontId="11" fillId="0" borderId="0" xfId="7" applyFont="1" applyBorder="1" applyProtection="1"/>
    <xf numFmtId="0" fontId="26" fillId="2" borderId="0" xfId="12" applyFont="1" applyFill="1"/>
    <xf numFmtId="0" fontId="26" fillId="2" borderId="41" xfId="12" applyFont="1" applyFill="1" applyBorder="1"/>
    <xf numFmtId="0" fontId="26" fillId="2" borderId="42" xfId="12" applyFont="1" applyFill="1" applyBorder="1"/>
    <xf numFmtId="0" fontId="1" fillId="2" borderId="43" xfId="5" applyBorder="1"/>
    <xf numFmtId="0" fontId="1" fillId="2" borderId="44" xfId="5" applyBorder="1"/>
    <xf numFmtId="0" fontId="1" fillId="2" borderId="45" xfId="5" applyBorder="1"/>
    <xf numFmtId="0" fontId="1" fillId="2" borderId="46" xfId="5" applyBorder="1"/>
    <xf numFmtId="0" fontId="14" fillId="4" borderId="47" xfId="7" applyFont="1" applyFill="1" applyBorder="1" applyAlignment="1" applyProtection="1">
      <alignment horizontal="center" wrapText="1"/>
      <protection locked="0"/>
    </xf>
    <xf numFmtId="0" fontId="18" fillId="0" borderId="0" xfId="7" applyFont="1" applyFill="1" applyBorder="1" applyAlignment="1" applyProtection="1">
      <alignment horizontal="left" vertical="center"/>
    </xf>
    <xf numFmtId="0" fontId="18" fillId="0" borderId="0" xfId="7" applyFont="1" applyFill="1"/>
    <xf numFmtId="0" fontId="18" fillId="0" borderId="6" xfId="7" applyFont="1" applyBorder="1" applyProtection="1"/>
    <xf numFmtId="0" fontId="0" fillId="2" borderId="0" xfId="5" applyFont="1" applyAlignment="1">
      <alignment horizontal="center" vertical="center" wrapText="1"/>
    </xf>
    <xf numFmtId="0" fontId="14" fillId="4" borderId="3" xfId="7" applyFont="1" applyFill="1" applyBorder="1" applyAlignment="1" applyProtection="1">
      <alignment horizontal="left" vertical="top"/>
      <protection locked="0"/>
    </xf>
    <xf numFmtId="0" fontId="14" fillId="4" borderId="4" xfId="7" quotePrefix="1" applyFont="1" applyFill="1" applyBorder="1" applyAlignment="1" applyProtection="1">
      <alignment horizontal="left" vertical="top"/>
      <protection locked="0"/>
    </xf>
    <xf numFmtId="0" fontId="14" fillId="4" borderId="5" xfId="7" quotePrefix="1" applyFont="1" applyFill="1" applyBorder="1" applyAlignment="1" applyProtection="1">
      <alignment horizontal="left" vertical="top"/>
      <protection locked="0"/>
    </xf>
    <xf numFmtId="0" fontId="14" fillId="4" borderId="6" xfId="7" quotePrefix="1" applyFont="1" applyFill="1" applyBorder="1" applyAlignment="1" applyProtection="1">
      <alignment horizontal="left" vertical="top"/>
      <protection locked="0"/>
    </xf>
    <xf numFmtId="0" fontId="14" fillId="4" borderId="0" xfId="7" quotePrefix="1" applyFont="1" applyFill="1" applyBorder="1" applyAlignment="1" applyProtection="1">
      <alignment horizontal="left" vertical="top"/>
      <protection locked="0"/>
    </xf>
    <xf numFmtId="0" fontId="14" fillId="4" borderId="7" xfId="7" quotePrefix="1" applyFont="1" applyFill="1" applyBorder="1" applyAlignment="1" applyProtection="1">
      <alignment horizontal="left" vertical="top"/>
      <protection locked="0"/>
    </xf>
    <xf numFmtId="0" fontId="14" fillId="4" borderId="16" xfId="7" quotePrefix="1" applyFont="1" applyFill="1" applyBorder="1" applyAlignment="1" applyProtection="1">
      <alignment horizontal="left" vertical="top"/>
      <protection locked="0"/>
    </xf>
    <xf numFmtId="0" fontId="14" fillId="4" borderId="11" xfId="7" quotePrefix="1" applyFont="1" applyFill="1" applyBorder="1" applyAlignment="1" applyProtection="1">
      <alignment horizontal="left" vertical="top"/>
      <protection locked="0"/>
    </xf>
    <xf numFmtId="0" fontId="14" fillId="4" borderId="12" xfId="7" quotePrefix="1" applyFont="1" applyFill="1" applyBorder="1" applyAlignment="1" applyProtection="1">
      <alignment horizontal="left" vertical="top"/>
      <protection locked="0"/>
    </xf>
    <xf numFmtId="0" fontId="4" fillId="0" borderId="0" xfId="7" applyBorder="1" applyAlignment="1" applyProtection="1">
      <alignment horizontal="left" vertical="top" wrapText="1"/>
    </xf>
    <xf numFmtId="0" fontId="4" fillId="0" borderId="7" xfId="7" applyBorder="1" applyAlignment="1" applyProtection="1">
      <alignment horizontal="left" vertical="top" wrapText="1"/>
    </xf>
    <xf numFmtId="0" fontId="21" fillId="0" borderId="0" xfId="7" applyFont="1" applyAlignment="1">
      <alignment horizontal="left" vertical="top" wrapText="1"/>
    </xf>
    <xf numFmtId="0" fontId="21" fillId="0" borderId="7" xfId="7" applyFont="1" applyBorder="1" applyAlignment="1">
      <alignment horizontal="left" vertical="top" wrapText="1"/>
    </xf>
  </cellXfs>
  <cellStyles count="13">
    <cellStyle name="20% - Accent4" xfId="5" builtinId="42"/>
    <cellStyle name="40% - Accent4" xfId="6" builtinId="43"/>
    <cellStyle name="Comma" xfId="1" builtinId="3"/>
    <cellStyle name="CustomInput" xfId="9"/>
    <cellStyle name="Explanatory Text" xfId="12" builtinId="53"/>
    <cellStyle name="Heading 1" xfId="3" builtinId="16"/>
    <cellStyle name="Heading 2" xfId="4" builtinId="17"/>
    <cellStyle name="Heading 4" xfId="10" builtinId="19"/>
    <cellStyle name="Hyperlink" xfId="8" builtinId="8"/>
    <cellStyle name="Normal" xfId="0" builtinId="0"/>
    <cellStyle name="Normal 2" xfId="7"/>
    <cellStyle name="Percent" xfId="2" builtinId="5"/>
    <cellStyle name="Warning Text" xfId="11"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Simulated value of asset over time</a:t>
            </a:r>
          </a:p>
        </c:rich>
      </c:tx>
      <c:layout/>
    </c:title>
    <c:plotArea>
      <c:layout/>
      <c:lineChart>
        <c:grouping val="standard"/>
        <c:ser>
          <c:idx val="1"/>
          <c:order val="0"/>
          <c:tx>
            <c:strRef>
              <c:f>'Projection statistics'!$J$12</c:f>
              <c:strCache>
                <c:ptCount val="1"/>
                <c:pt idx="0">
                  <c:v>25th percentile</c:v>
                </c:pt>
              </c:strCache>
            </c:strRef>
          </c:tx>
          <c:marker>
            <c:symbol val="none"/>
          </c:marker>
          <c:cat>
            <c:numRef>
              <c:f>'Projection statistics'!$K$5:$U$5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'Projection statistics'!$K$10:$U$10</c:f>
              <c:numCache>
                <c:formatCode>_-* #,##0.00_-;\-* #,##0.00_-;_-* "-"??_-;_-@_-</c:formatCode>
                <c:ptCount val="11"/>
                <c:pt idx="0">
                  <c:v>10000</c:v>
                </c:pt>
                <c:pt idx="1">
                  <c:v>9330</c:v>
                </c:pt>
                <c:pt idx="2">
                  <c:v>9314.34</c:v>
                </c:pt>
                <c:pt idx="3">
                  <c:v>9599.0296999999991</c:v>
                </c:pt>
                <c:pt idx="4">
                  <c:v>9705.9699446399991</c:v>
                </c:pt>
                <c:pt idx="5">
                  <c:v>10501.57915398144</c:v>
                </c:pt>
                <c:pt idx="6">
                  <c:v>10120.240153817123</c:v>
                </c:pt>
                <c:pt idx="7">
                  <c:v>10104.823140004457</c:v>
                </c:pt>
                <c:pt idx="8">
                  <c:v>10244.610577925418</c:v>
                </c:pt>
                <c:pt idx="9">
                  <c:v>10741.721684683109</c:v>
                </c:pt>
                <c:pt idx="10">
                  <c:v>10945.814396692087</c:v>
                </c:pt>
              </c:numCache>
            </c:numRef>
          </c:val>
        </c:ser>
        <c:ser>
          <c:idx val="0"/>
          <c:order val="1"/>
          <c:tx>
            <c:strRef>
              <c:f>'Projection statistics'!$J$9</c:f>
              <c:strCache>
                <c:ptCount val="1"/>
                <c:pt idx="0">
                  <c:v>Median</c:v>
                </c:pt>
              </c:strCache>
            </c:strRef>
          </c:tx>
          <c:marker>
            <c:symbol val="none"/>
          </c:marker>
          <c:cat>
            <c:numRef>
              <c:f>'Projection statistics'!$K$5:$U$5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'Projection statistics'!$K$9:$U$9</c:f>
              <c:numCache>
                <c:formatCode>_-* #,##0.00_-;\-* #,##0.00_-;_-* "-"??_-;_-@_-</c:formatCode>
                <c:ptCount val="11"/>
                <c:pt idx="0">
                  <c:v>10000</c:v>
                </c:pt>
                <c:pt idx="1">
                  <c:v>10570</c:v>
                </c:pt>
                <c:pt idx="2">
                  <c:v>11156.684999999999</c:v>
                </c:pt>
                <c:pt idx="3">
                  <c:v>11670.686845</c:v>
                </c:pt>
                <c:pt idx="4">
                  <c:v>12582.064962340002</c:v>
                </c:pt>
                <c:pt idx="5">
                  <c:v>12362.833631405239</c:v>
                </c:pt>
                <c:pt idx="6">
                  <c:v>13230.869431265202</c:v>
                </c:pt>
                <c:pt idx="7">
                  <c:v>13252.313217993529</c:v>
                </c:pt>
                <c:pt idx="8">
                  <c:v>13917.81072170414</c:v>
                </c:pt>
                <c:pt idx="9">
                  <c:v>14453.808253318255</c:v>
                </c:pt>
                <c:pt idx="10">
                  <c:v>15578.299494003444</c:v>
                </c:pt>
              </c:numCache>
            </c:numRef>
          </c:val>
        </c:ser>
        <c:ser>
          <c:idx val="2"/>
          <c:order val="2"/>
          <c:tx>
            <c:strRef>
              <c:f>'Projection statistics'!$J$16</c:f>
              <c:strCache>
                <c:ptCount val="1"/>
                <c:pt idx="0">
                  <c:v>75th percentile</c:v>
                </c:pt>
              </c:strCache>
            </c:strRef>
          </c:tx>
          <c:marker>
            <c:symbol val="none"/>
          </c:marker>
          <c:cat>
            <c:numRef>
              <c:f>'Projection statistics'!$K$5:$U$5</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'Projection statistics'!$K$14:$U$14</c:f>
              <c:numCache>
                <c:formatCode>_-* #,##0.00_-;\-* #,##0.00_-;_-* "-"??_-;_-@_-</c:formatCode>
                <c:ptCount val="11"/>
                <c:pt idx="0">
                  <c:v>10000</c:v>
                </c:pt>
                <c:pt idx="1">
                  <c:v>12080</c:v>
                </c:pt>
                <c:pt idx="2">
                  <c:v>12521.83</c:v>
                </c:pt>
                <c:pt idx="3">
                  <c:v>14067.123840000002</c:v>
                </c:pt>
                <c:pt idx="4">
                  <c:v>14979.606690240003</c:v>
                </c:pt>
                <c:pt idx="5">
                  <c:v>15324.620857031397</c:v>
                </c:pt>
                <c:pt idx="6">
                  <c:v>16852.424039820093</c:v>
                </c:pt>
                <c:pt idx="7">
                  <c:v>17425.817631500086</c:v>
                </c:pt>
                <c:pt idx="8">
                  <c:v>18626.934981545441</c:v>
                </c:pt>
                <c:pt idx="9">
                  <c:v>19881.464596188107</c:v>
                </c:pt>
                <c:pt idx="10">
                  <c:v>21682.558225439559</c:v>
                </c:pt>
              </c:numCache>
            </c:numRef>
          </c:val>
        </c:ser>
        <c:marker val="1"/>
        <c:axId val="47065728"/>
        <c:axId val="47523328"/>
      </c:lineChart>
      <c:catAx>
        <c:axId val="47065728"/>
        <c:scaling>
          <c:orientation val="minMax"/>
        </c:scaling>
        <c:axPos val="b"/>
        <c:title>
          <c:tx>
            <c:rich>
              <a:bodyPr/>
              <a:lstStyle/>
              <a:p>
                <a:pPr>
                  <a:defRPr/>
                </a:pPr>
                <a:r>
                  <a:rPr lang="en-US"/>
                  <a:t>Projection Year</a:t>
                </a:r>
              </a:p>
            </c:rich>
          </c:tx>
          <c:layout/>
        </c:title>
        <c:numFmt formatCode="General" sourceLinked="1"/>
        <c:tickLblPos val="nextTo"/>
        <c:crossAx val="47523328"/>
        <c:crosses val="autoZero"/>
        <c:auto val="1"/>
        <c:lblAlgn val="ctr"/>
        <c:lblOffset val="100"/>
      </c:catAx>
      <c:valAx>
        <c:axId val="47523328"/>
        <c:scaling>
          <c:orientation val="minMax"/>
        </c:scaling>
        <c:axPos val="l"/>
        <c:majorGridlines/>
        <c:title>
          <c:tx>
            <c:rich>
              <a:bodyPr rot="-5400000" vert="horz"/>
              <a:lstStyle/>
              <a:p>
                <a:pPr>
                  <a:defRPr/>
                </a:pPr>
                <a:r>
                  <a:rPr lang="en-US"/>
                  <a:t>Asset Value (£)</a:t>
                </a:r>
              </a:p>
            </c:rich>
          </c:tx>
          <c:layout/>
        </c:title>
        <c:numFmt formatCode="_-* #,##0.00_-;\-* #,##0.00_-;_-* &quot;-&quot;??_-;_-@_-" sourceLinked="1"/>
        <c:tickLblPos val="nextTo"/>
        <c:crossAx val="47065728"/>
        <c:crosses val="autoZero"/>
        <c:crossBetween val="between"/>
      </c:valAx>
      <c:dTable>
        <c:showHorzBorder val="1"/>
        <c:showVertBorder val="1"/>
        <c:showOutline val="1"/>
        <c:showKeys val="1"/>
      </c:dTable>
    </c:plotArea>
    <c:plotVisOnly val="1"/>
    <c:dispBlanksAs val="gap"/>
  </c:chart>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baseline="0"/>
              <a:t>Annualised return Distribution</a:t>
            </a:r>
          </a:p>
        </c:rich>
      </c:tx>
      <c:layout/>
    </c:title>
    <c:plotArea>
      <c:layout/>
      <c:barChart>
        <c:barDir val="col"/>
        <c:grouping val="clustered"/>
        <c:ser>
          <c:idx val="0"/>
          <c:order val="0"/>
          <c:dLbls>
            <c:spPr>
              <a:noFill/>
              <a:ln>
                <a:noFill/>
              </a:ln>
              <a:effectLst/>
            </c:spPr>
            <c:showVal val="1"/>
            <c:extLst>
              <c:ext xmlns:c15="http://schemas.microsoft.com/office/drawing/2012/chart" uri="{CE6537A1-D6FC-4f65-9D91-7224C49458BB}">
                <c15:layout/>
                <c15:showLeaderLines val="0"/>
              </c:ext>
            </c:extLst>
          </c:dLbls>
          <c:cat>
            <c:strRef>
              <c:f>'Projection statistics'!$AE$8:$AE$14</c:f>
              <c:strCache>
                <c:ptCount val="7"/>
                <c:pt idx="0">
                  <c:v>From -10% to -5%</c:v>
                </c:pt>
                <c:pt idx="1">
                  <c:v>From -5% to 0%</c:v>
                </c:pt>
                <c:pt idx="2">
                  <c:v>From 0% to 5%</c:v>
                </c:pt>
                <c:pt idx="3">
                  <c:v>From 5% to 10%</c:v>
                </c:pt>
                <c:pt idx="4">
                  <c:v>From 10% to 15%</c:v>
                </c:pt>
                <c:pt idx="5">
                  <c:v>From 15% to 20%</c:v>
                </c:pt>
                <c:pt idx="6">
                  <c:v>From 20% to 25%</c:v>
                </c:pt>
              </c:strCache>
            </c:strRef>
          </c:cat>
          <c:val>
            <c:numRef>
              <c:f>'Projection statistics'!$AJ$8:$AJ$14</c:f>
              <c:numCache>
                <c:formatCode>General</c:formatCode>
                <c:ptCount val="7"/>
                <c:pt idx="0">
                  <c:v>4</c:v>
                </c:pt>
                <c:pt idx="1">
                  <c:v>17</c:v>
                </c:pt>
                <c:pt idx="2">
                  <c:v>32</c:v>
                </c:pt>
                <c:pt idx="3">
                  <c:v>30</c:v>
                </c:pt>
                <c:pt idx="4">
                  <c:v>14</c:v>
                </c:pt>
                <c:pt idx="5">
                  <c:v>2</c:v>
                </c:pt>
                <c:pt idx="6">
                  <c:v>1</c:v>
                </c:pt>
              </c:numCache>
            </c:numRef>
          </c:val>
        </c:ser>
        <c:dLbls>
          <c:showVal val="1"/>
        </c:dLbls>
        <c:axId val="47347968"/>
        <c:axId val="47362432"/>
      </c:barChart>
      <c:catAx>
        <c:axId val="47347968"/>
        <c:scaling>
          <c:orientation val="minMax"/>
        </c:scaling>
        <c:axPos val="b"/>
        <c:title>
          <c:tx>
            <c:rich>
              <a:bodyPr/>
              <a:lstStyle/>
              <a:p>
                <a:pPr>
                  <a:defRPr/>
                </a:pPr>
                <a:r>
                  <a:rPr lang="en-US"/>
                  <a:t>Annualised Return Range</a:t>
                </a:r>
              </a:p>
            </c:rich>
          </c:tx>
          <c:layout/>
        </c:title>
        <c:numFmt formatCode="General" sourceLinked="0"/>
        <c:tickLblPos val="nextTo"/>
        <c:crossAx val="47362432"/>
        <c:crosses val="autoZero"/>
        <c:auto val="1"/>
        <c:lblAlgn val="ctr"/>
        <c:lblOffset val="100"/>
      </c:catAx>
      <c:valAx>
        <c:axId val="47362432"/>
        <c:scaling>
          <c:orientation val="minMax"/>
        </c:scaling>
        <c:axPos val="l"/>
        <c:majorGridlines/>
        <c:title>
          <c:tx>
            <c:rich>
              <a:bodyPr rot="-5400000" vert="horz"/>
              <a:lstStyle/>
              <a:p>
                <a:pPr>
                  <a:defRPr/>
                </a:pPr>
                <a:r>
                  <a:rPr lang="en-US"/>
                  <a:t>Number of runs with return in this range</a:t>
                </a:r>
              </a:p>
            </c:rich>
          </c:tx>
          <c:layout/>
        </c:title>
        <c:numFmt formatCode="General" sourceLinked="1"/>
        <c:tickLblPos val="nextTo"/>
        <c:crossAx val="47347968"/>
        <c:crosses val="autoZero"/>
        <c:crossBetween val="between"/>
      </c:valAx>
    </c:plotArea>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7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09"/>
  <sheetViews>
    <sheetView showGridLines="0" tabSelected="1" zoomScale="85" zoomScaleNormal="85" workbookViewId="0"/>
  </sheetViews>
  <sheetFormatPr defaultRowHeight="15"/>
  <cols>
    <col min="3" max="3" width="14.42578125" bestFit="1" customWidth="1"/>
  </cols>
  <sheetData>
    <row r="1" spans="1:20">
      <c r="L1" s="141"/>
    </row>
    <row r="2" spans="1:20">
      <c r="L2" s="141"/>
      <c r="M2" s="123" t="s">
        <v>130</v>
      </c>
    </row>
    <row r="3" spans="1:20">
      <c r="L3" s="141"/>
    </row>
    <row r="4" spans="1:20">
      <c r="B4" s="136"/>
      <c r="C4" s="137"/>
      <c r="D4" s="137"/>
      <c r="E4" s="137"/>
      <c r="F4" s="137"/>
      <c r="G4" s="137"/>
      <c r="H4" s="137"/>
      <c r="I4" s="137"/>
      <c r="J4" s="137"/>
      <c r="K4" s="137"/>
      <c r="L4" s="142"/>
      <c r="M4" s="137"/>
      <c r="N4" s="138"/>
    </row>
    <row r="5" spans="1:20">
      <c r="A5" s="74"/>
      <c r="B5" s="131"/>
      <c r="C5" s="68"/>
      <c r="D5" s="68"/>
      <c r="E5" s="68"/>
      <c r="F5" s="68"/>
      <c r="G5" s="68"/>
      <c r="H5" s="68"/>
      <c r="I5" s="68"/>
      <c r="J5" s="68"/>
      <c r="K5" s="68"/>
      <c r="L5" s="68"/>
      <c r="M5" s="68"/>
      <c r="N5" s="71"/>
    </row>
    <row r="6" spans="1:20" ht="20.25" thickBot="1">
      <c r="A6" s="74"/>
      <c r="B6" s="131"/>
      <c r="C6" s="76" t="s">
        <v>47</v>
      </c>
      <c r="D6" s="76"/>
      <c r="E6" s="76"/>
      <c r="F6" s="76"/>
      <c r="G6" s="76"/>
      <c r="H6" s="76"/>
      <c r="I6" s="76"/>
      <c r="J6" s="76"/>
      <c r="K6" s="76"/>
      <c r="L6" s="76"/>
      <c r="M6" s="76"/>
      <c r="N6" s="71"/>
    </row>
    <row r="7" spans="1:20" ht="15.75" thickTop="1">
      <c r="A7" s="74"/>
      <c r="B7" s="131"/>
      <c r="C7" s="68"/>
      <c r="D7" s="133"/>
      <c r="E7" s="133"/>
      <c r="F7" s="133"/>
      <c r="G7" s="133"/>
      <c r="H7" s="133"/>
      <c r="I7" s="133"/>
      <c r="J7" s="133"/>
      <c r="K7" s="133"/>
      <c r="L7" s="133"/>
      <c r="M7" s="133"/>
      <c r="N7" s="71"/>
    </row>
    <row r="8" spans="1:20">
      <c r="A8" s="74"/>
      <c r="B8" s="131"/>
      <c r="C8" s="68"/>
      <c r="D8" s="132" t="s">
        <v>173</v>
      </c>
      <c r="E8" s="132" t="s">
        <v>174</v>
      </c>
      <c r="F8" s="132" t="s">
        <v>175</v>
      </c>
      <c r="G8" s="132" t="s">
        <v>176</v>
      </c>
      <c r="H8" s="132" t="s">
        <v>177</v>
      </c>
      <c r="I8" s="132" t="s">
        <v>178</v>
      </c>
      <c r="J8" s="132" t="s">
        <v>179</v>
      </c>
      <c r="K8" s="132" t="s">
        <v>180</v>
      </c>
      <c r="L8" s="132" t="s">
        <v>181</v>
      </c>
      <c r="M8" s="132" t="s">
        <v>182</v>
      </c>
      <c r="N8" s="71"/>
    </row>
    <row r="9" spans="1:20">
      <c r="A9" s="74"/>
      <c r="B9" s="134"/>
      <c r="C9" s="135" t="s">
        <v>183</v>
      </c>
      <c r="D9" s="77">
        <v>0.38200000000000001</v>
      </c>
      <c r="E9" s="77">
        <v>-0.25800000000000001</v>
      </c>
      <c r="F9" s="77">
        <v>-2.4E-2</v>
      </c>
      <c r="G9" s="77">
        <v>0.32500000000000001</v>
      </c>
      <c r="H9" s="77">
        <v>0.27100000000000002</v>
      </c>
      <c r="I9" s="77">
        <v>0.01</v>
      </c>
      <c r="J9" s="77">
        <v>0.28799999999999998</v>
      </c>
      <c r="K9" s="77">
        <v>0.17</v>
      </c>
      <c r="L9" s="77">
        <v>4.1000000000000002E-2</v>
      </c>
      <c r="M9" s="79">
        <v>-0.11799999999999999</v>
      </c>
      <c r="N9" s="72"/>
      <c r="O9" s="139" t="s">
        <v>131</v>
      </c>
      <c r="P9" s="140"/>
      <c r="Q9" s="140"/>
      <c r="R9" s="140"/>
      <c r="S9" s="140"/>
      <c r="T9" s="140"/>
    </row>
    <row r="10" spans="1:20">
      <c r="A10" s="74"/>
      <c r="B10" s="134"/>
      <c r="C10" s="135" t="s">
        <v>184</v>
      </c>
      <c r="D10" s="77">
        <v>-6.3E-2</v>
      </c>
      <c r="E10" s="77">
        <v>-0.10199999999999999</v>
      </c>
      <c r="F10" s="77">
        <v>7.0999999999999994E-2</v>
      </c>
      <c r="G10" s="77">
        <v>7.5999999999999998E-2</v>
      </c>
      <c r="H10" s="77">
        <v>-2.4E-2</v>
      </c>
      <c r="I10" s="77">
        <v>0.11</v>
      </c>
      <c r="J10" s="77">
        <v>-0.19700000000000001</v>
      </c>
      <c r="K10" s="77">
        <v>0</v>
      </c>
      <c r="L10" s="77">
        <v>-7.6999999999999999E-2</v>
      </c>
      <c r="M10" s="79">
        <v>-6.8000000000000005E-2</v>
      </c>
      <c r="N10" s="71"/>
    </row>
    <row r="11" spans="1:20">
      <c r="A11" s="74"/>
      <c r="B11" s="134"/>
      <c r="C11" s="135" t="s">
        <v>185</v>
      </c>
      <c r="D11" s="77">
        <v>-3.0000000000000001E-3</v>
      </c>
      <c r="E11" s="77">
        <v>0.189</v>
      </c>
      <c r="F11" s="77">
        <v>0.33500000000000002</v>
      </c>
      <c r="G11" s="77">
        <v>-6.8000000000000005E-2</v>
      </c>
      <c r="H11" s="77">
        <v>3.9E-2</v>
      </c>
      <c r="I11" s="77">
        <v>8.4000000000000005E-2</v>
      </c>
      <c r="J11" s="77">
        <v>-0.223</v>
      </c>
      <c r="K11" s="77">
        <v>0.125</v>
      </c>
      <c r="L11" s="77">
        <v>0.152</v>
      </c>
      <c r="M11" s="79">
        <v>-0.17499999999999999</v>
      </c>
      <c r="N11" s="71"/>
    </row>
    <row r="12" spans="1:20">
      <c r="A12" s="74"/>
      <c r="B12" s="134"/>
      <c r="C12" s="135" t="s">
        <v>186</v>
      </c>
      <c r="D12" s="77">
        <v>-1.2E-2</v>
      </c>
      <c r="E12" s="77">
        <v>8.8999999999999996E-2</v>
      </c>
      <c r="F12" s="77">
        <v>-9.2999999999999999E-2</v>
      </c>
      <c r="G12" s="77">
        <v>0.24399999999999999</v>
      </c>
      <c r="H12" s="77">
        <v>-3.4000000000000002E-2</v>
      </c>
      <c r="I12" s="77">
        <v>0.33400000000000002</v>
      </c>
      <c r="J12" s="77">
        <v>8.4000000000000005E-2</v>
      </c>
      <c r="K12" s="77">
        <v>0.38</v>
      </c>
      <c r="L12" s="77">
        <v>0.11899999999999999</v>
      </c>
      <c r="M12" s="79">
        <v>-7.5999999999999998E-2</v>
      </c>
      <c r="N12" s="71"/>
    </row>
    <row r="13" spans="1:20">
      <c r="A13" s="74"/>
      <c r="B13" s="134"/>
      <c r="C13" s="135" t="s">
        <v>187</v>
      </c>
      <c r="D13" s="77">
        <v>-0.14299999999999999</v>
      </c>
      <c r="E13" s="77">
        <v>-0.126</v>
      </c>
      <c r="F13" s="77">
        <v>0.63500000000000001</v>
      </c>
      <c r="G13" s="77">
        <v>0.128</v>
      </c>
      <c r="H13" s="77">
        <v>0.214</v>
      </c>
      <c r="I13" s="77">
        <v>-0.17699999999999999</v>
      </c>
      <c r="J13" s="77">
        <v>4.9000000000000002E-2</v>
      </c>
      <c r="K13" s="77">
        <v>0.214</v>
      </c>
      <c r="L13" s="77">
        <v>0.68100000000000005</v>
      </c>
      <c r="M13" s="79">
        <v>-4.9000000000000002E-2</v>
      </c>
      <c r="N13" s="71"/>
    </row>
    <row r="14" spans="1:20">
      <c r="A14" s="74"/>
      <c r="B14" s="134"/>
      <c r="C14" s="135" t="s">
        <v>188</v>
      </c>
      <c r="D14" s="77">
        <v>0.11600000000000001</v>
      </c>
      <c r="E14" s="77">
        <v>0.34300000000000003</v>
      </c>
      <c r="F14" s="77">
        <v>-7.8E-2</v>
      </c>
      <c r="G14" s="77">
        <v>8.4000000000000005E-2</v>
      </c>
      <c r="H14" s="77">
        <v>-0.05</v>
      </c>
      <c r="I14" s="77">
        <v>0.318</v>
      </c>
      <c r="J14" s="77">
        <v>-0.188</v>
      </c>
      <c r="K14" s="77">
        <v>-0.28599999999999998</v>
      </c>
      <c r="L14" s="77">
        <v>5.0000000000000001E-3</v>
      </c>
      <c r="M14" s="79">
        <v>0.218</v>
      </c>
      <c r="N14" s="71"/>
    </row>
    <row r="15" spans="1:20">
      <c r="A15" s="74"/>
      <c r="B15" s="134"/>
      <c r="C15" s="135" t="s">
        <v>189</v>
      </c>
      <c r="D15" s="77">
        <v>7.6999999999999999E-2</v>
      </c>
      <c r="E15" s="77">
        <v>0.13400000000000001</v>
      </c>
      <c r="F15" s="77">
        <v>-0.11799999999999999</v>
      </c>
      <c r="G15" s="77">
        <v>-0.28799999999999998</v>
      </c>
      <c r="H15" s="77">
        <v>0.35299999999999998</v>
      </c>
      <c r="I15" s="77">
        <v>-5.3999999999999999E-2</v>
      </c>
      <c r="J15" s="77">
        <v>0.24</v>
      </c>
      <c r="K15" s="77">
        <v>-0.161</v>
      </c>
      <c r="L15" s="77">
        <v>0.191</v>
      </c>
      <c r="M15" s="79">
        <v>0.25900000000000001</v>
      </c>
      <c r="N15" s="71"/>
    </row>
    <row r="16" spans="1:20">
      <c r="A16" s="74"/>
      <c r="B16" s="134"/>
      <c r="C16" s="135" t="s">
        <v>190</v>
      </c>
      <c r="D16" s="77">
        <v>-0.316</v>
      </c>
      <c r="E16" s="77">
        <v>-0.16700000000000001</v>
      </c>
      <c r="F16" s="77">
        <v>0.29199999999999998</v>
      </c>
      <c r="G16" s="77">
        <v>-0.219</v>
      </c>
      <c r="H16" s="77">
        <v>-6.6000000000000003E-2</v>
      </c>
      <c r="I16" s="77">
        <v>-0.32800000000000001</v>
      </c>
      <c r="J16" s="77">
        <v>0.28899999999999998</v>
      </c>
      <c r="K16" s="77">
        <v>0.434</v>
      </c>
      <c r="L16" s="77">
        <v>-5.3999999999999999E-2</v>
      </c>
      <c r="M16" s="79">
        <v>0.17399999999999999</v>
      </c>
      <c r="N16" s="71"/>
    </row>
    <row r="17" spans="1:14">
      <c r="A17" s="74"/>
      <c r="B17" s="134"/>
      <c r="C17" s="135" t="s">
        <v>191</v>
      </c>
      <c r="D17" s="77">
        <v>0.27600000000000002</v>
      </c>
      <c r="E17" s="77">
        <v>-0.108</v>
      </c>
      <c r="F17" s="77">
        <v>-0.17199999999999999</v>
      </c>
      <c r="G17" s="77">
        <v>-6.0999999999999999E-2</v>
      </c>
      <c r="H17" s="77">
        <v>2.1999999999999999E-2</v>
      </c>
      <c r="I17" s="77">
        <v>0.14000000000000001</v>
      </c>
      <c r="J17" s="77">
        <v>-1.4999999999999999E-2</v>
      </c>
      <c r="K17" s="77">
        <v>-0.18</v>
      </c>
      <c r="L17" s="77">
        <v>8.0000000000000002E-3</v>
      </c>
      <c r="M17" s="79">
        <v>5.3999999999999999E-2</v>
      </c>
      <c r="N17" s="71"/>
    </row>
    <row r="18" spans="1:14">
      <c r="A18" s="74"/>
      <c r="B18" s="134"/>
      <c r="C18" s="135" t="s">
        <v>192</v>
      </c>
      <c r="D18" s="77">
        <v>0.26400000000000001</v>
      </c>
      <c r="E18" s="77">
        <v>8.8999999999999996E-2</v>
      </c>
      <c r="F18" s="77">
        <v>-0.02</v>
      </c>
      <c r="G18" s="77">
        <v>0.14099999999999999</v>
      </c>
      <c r="H18" s="77">
        <v>-0.22500000000000001</v>
      </c>
      <c r="I18" s="77">
        <v>-0.20699999999999999</v>
      </c>
      <c r="J18" s="77">
        <v>0.34100000000000003</v>
      </c>
      <c r="K18" s="77">
        <v>8.5999999999999993E-2</v>
      </c>
      <c r="L18" s="77">
        <v>-0.191</v>
      </c>
      <c r="M18" s="79">
        <v>0.32200000000000001</v>
      </c>
      <c r="N18" s="71"/>
    </row>
    <row r="19" spans="1:14">
      <c r="A19" s="74"/>
      <c r="B19" s="134"/>
      <c r="C19" s="135" t="s">
        <v>193</v>
      </c>
      <c r="D19" s="77">
        <v>-2.7E-2</v>
      </c>
      <c r="E19" s="77">
        <v>6.0000000000000001E-3</v>
      </c>
      <c r="F19" s="77">
        <v>-8.2000000000000003E-2</v>
      </c>
      <c r="G19" s="77">
        <v>0.14599999999999999</v>
      </c>
      <c r="H19" s="77">
        <v>2.5999999999999999E-2</v>
      </c>
      <c r="I19" s="77">
        <v>0.379</v>
      </c>
      <c r="J19" s="77">
        <v>0.191</v>
      </c>
      <c r="K19" s="77">
        <v>0.09</v>
      </c>
      <c r="L19" s="77">
        <v>0.03</v>
      </c>
      <c r="M19" s="79">
        <v>0.311</v>
      </c>
      <c r="N19" s="71"/>
    </row>
    <row r="20" spans="1:14">
      <c r="A20" s="74"/>
      <c r="B20" s="134"/>
      <c r="C20" s="135" t="s">
        <v>194</v>
      </c>
      <c r="D20" s="77">
        <v>-3.5999999999999997E-2</v>
      </c>
      <c r="E20" s="77">
        <v>0.23899999999999999</v>
      </c>
      <c r="F20" s="77">
        <v>0.56999999999999995</v>
      </c>
      <c r="G20" s="77">
        <v>0.28999999999999998</v>
      </c>
      <c r="H20" s="77">
        <v>-0.16200000000000001</v>
      </c>
      <c r="I20" s="77">
        <v>1.4E-2</v>
      </c>
      <c r="J20" s="77">
        <v>6.2E-2</v>
      </c>
      <c r="K20" s="77">
        <v>-0.27400000000000002</v>
      </c>
      <c r="L20" s="77">
        <v>0.19</v>
      </c>
      <c r="M20" s="79">
        <v>0.44400000000000001</v>
      </c>
      <c r="N20" s="71"/>
    </row>
    <row r="21" spans="1:14">
      <c r="A21" s="74"/>
      <c r="B21" s="134"/>
      <c r="C21" s="135" t="s">
        <v>195</v>
      </c>
      <c r="D21" s="77">
        <v>0.47899999999999998</v>
      </c>
      <c r="E21" s="77">
        <v>0.14099999999999999</v>
      </c>
      <c r="F21" s="77">
        <v>0.42099999999999999</v>
      </c>
      <c r="G21" s="77">
        <v>2.4E-2</v>
      </c>
      <c r="H21" s="77">
        <v>-0.151</v>
      </c>
      <c r="I21" s="77">
        <v>0.26800000000000002</v>
      </c>
      <c r="J21" s="77">
        <v>-3.6999999999999998E-2</v>
      </c>
      <c r="K21" s="77">
        <v>0.04</v>
      </c>
      <c r="L21" s="77">
        <v>0.23499999999999999</v>
      </c>
      <c r="M21" s="79">
        <v>7.2999999999999995E-2</v>
      </c>
      <c r="N21" s="71"/>
    </row>
    <row r="22" spans="1:14">
      <c r="A22" s="74"/>
      <c r="B22" s="134"/>
      <c r="C22" s="135" t="s">
        <v>196</v>
      </c>
      <c r="D22" s="77">
        <v>-0.108</v>
      </c>
      <c r="E22" s="77">
        <v>-0.38400000000000001</v>
      </c>
      <c r="F22" s="77">
        <v>4.7E-2</v>
      </c>
      <c r="G22" s="77">
        <v>0.09</v>
      </c>
      <c r="H22" s="77">
        <v>0.35799999999999998</v>
      </c>
      <c r="I22" s="77">
        <v>-0.16600000000000001</v>
      </c>
      <c r="J22" s="77">
        <v>5.7000000000000002E-2</v>
      </c>
      <c r="K22" s="77">
        <v>-7.8E-2</v>
      </c>
      <c r="L22" s="77">
        <v>0.60599999999999998</v>
      </c>
      <c r="M22" s="79">
        <v>-0.34799999999999998</v>
      </c>
      <c r="N22" s="71"/>
    </row>
    <row r="23" spans="1:14">
      <c r="A23" s="74"/>
      <c r="B23" s="134"/>
      <c r="C23" s="135" t="s">
        <v>197</v>
      </c>
      <c r="D23" s="77">
        <v>8.8999999999999996E-2</v>
      </c>
      <c r="E23" s="77">
        <v>5.8000000000000003E-2</v>
      </c>
      <c r="F23" s="77">
        <v>-3.3000000000000002E-2</v>
      </c>
      <c r="G23" s="77">
        <v>1.4999999999999999E-2</v>
      </c>
      <c r="H23" s="77">
        <v>-6.3E-2</v>
      </c>
      <c r="I23" s="77">
        <v>4.9000000000000002E-2</v>
      </c>
      <c r="J23" s="77">
        <v>-0.111</v>
      </c>
      <c r="K23" s="77">
        <v>0.29099999999999998</v>
      </c>
      <c r="L23" s="77">
        <v>8.5000000000000006E-2</v>
      </c>
      <c r="M23" s="79">
        <v>-2.1000000000000001E-2</v>
      </c>
      <c r="N23" s="71"/>
    </row>
    <row r="24" spans="1:14">
      <c r="A24" s="74"/>
      <c r="B24" s="134"/>
      <c r="C24" s="135" t="s">
        <v>198</v>
      </c>
      <c r="D24" s="77">
        <v>0.502</v>
      </c>
      <c r="E24" s="77">
        <v>0.36</v>
      </c>
      <c r="F24" s="77">
        <v>-0.13</v>
      </c>
      <c r="G24" s="77">
        <v>-5.0999999999999997E-2</v>
      </c>
      <c r="H24" s="77">
        <v>0.124</v>
      </c>
      <c r="I24" s="77">
        <v>-0.111</v>
      </c>
      <c r="J24" s="77">
        <v>-0.04</v>
      </c>
      <c r="K24" s="77">
        <v>0.14899999999999999</v>
      </c>
      <c r="L24" s="77">
        <v>0.159</v>
      </c>
      <c r="M24" s="79">
        <v>-2.7E-2</v>
      </c>
      <c r="N24" s="71"/>
    </row>
    <row r="25" spans="1:14">
      <c r="A25" s="74"/>
      <c r="B25" s="134"/>
      <c r="C25" s="135" t="s">
        <v>199</v>
      </c>
      <c r="D25" s="77">
        <v>-0.13300000000000001</v>
      </c>
      <c r="E25" s="77">
        <v>-0.47</v>
      </c>
      <c r="F25" s="77">
        <v>2.4E-2</v>
      </c>
      <c r="G25" s="77">
        <v>1.7000000000000001E-2</v>
      </c>
      <c r="H25" s="77">
        <v>-0.114</v>
      </c>
      <c r="I25" s="77">
        <v>0.157</v>
      </c>
      <c r="J25" s="77">
        <v>0.159</v>
      </c>
      <c r="K25" s="77">
        <v>-0.126</v>
      </c>
      <c r="L25" s="77">
        <v>0.11799999999999999</v>
      </c>
      <c r="M25" s="79">
        <v>2.5000000000000001E-2</v>
      </c>
      <c r="N25" s="71"/>
    </row>
    <row r="26" spans="1:14">
      <c r="A26" s="74"/>
      <c r="B26" s="134"/>
      <c r="C26" s="135" t="s">
        <v>200</v>
      </c>
      <c r="D26" s="77">
        <v>0.40799999999999997</v>
      </c>
      <c r="E26" s="77">
        <v>-0.20399999999999999</v>
      </c>
      <c r="F26" s="77">
        <v>2.5000000000000001E-2</v>
      </c>
      <c r="G26" s="77">
        <v>0.05</v>
      </c>
      <c r="H26" s="77">
        <v>-7.8E-2</v>
      </c>
      <c r="I26" s="77">
        <v>0.104</v>
      </c>
      <c r="J26" s="77">
        <v>-0.17699999999999999</v>
      </c>
      <c r="K26" s="77">
        <v>0.16400000000000001</v>
      </c>
      <c r="L26" s="77">
        <v>0.04</v>
      </c>
      <c r="M26" s="79">
        <v>-0.106</v>
      </c>
      <c r="N26" s="71"/>
    </row>
    <row r="27" spans="1:14">
      <c r="A27" s="74"/>
      <c r="B27" s="134"/>
      <c r="C27" s="135" t="s">
        <v>201</v>
      </c>
      <c r="D27" s="77">
        <v>0.182</v>
      </c>
      <c r="E27" s="77">
        <v>7.8E-2</v>
      </c>
      <c r="F27" s="77">
        <v>0.104</v>
      </c>
      <c r="G27" s="77">
        <v>0.16500000000000001</v>
      </c>
      <c r="H27" s="77">
        <v>4.8000000000000001E-2</v>
      </c>
      <c r="I27" s="77">
        <v>-0.10299999999999999</v>
      </c>
      <c r="J27" s="77">
        <v>6.0000000000000001E-3</v>
      </c>
      <c r="K27" s="77">
        <v>5.3999999999999999E-2</v>
      </c>
      <c r="L27" s="77">
        <v>0.16600000000000001</v>
      </c>
      <c r="M27" s="79">
        <v>-5.0999999999999997E-2</v>
      </c>
      <c r="N27" s="71"/>
    </row>
    <row r="28" spans="1:14">
      <c r="A28" s="74"/>
      <c r="B28" s="134"/>
      <c r="C28" s="135" t="s">
        <v>202</v>
      </c>
      <c r="D28" s="77">
        <v>-0.17799999999999999</v>
      </c>
      <c r="E28" s="77">
        <v>-5.8000000000000003E-2</v>
      </c>
      <c r="F28" s="77">
        <v>-6.2E-2</v>
      </c>
      <c r="G28" s="77">
        <v>0.20499999999999999</v>
      </c>
      <c r="H28" s="77">
        <v>0.124</v>
      </c>
      <c r="I28" s="77">
        <v>-0.10299999999999999</v>
      </c>
      <c r="J28" s="77">
        <v>-0.19700000000000001</v>
      </c>
      <c r="K28" s="77">
        <v>0.28699999999999998</v>
      </c>
      <c r="L28" s="77">
        <v>-2.7E-2</v>
      </c>
      <c r="M28" s="79">
        <v>3.4000000000000002E-2</v>
      </c>
      <c r="N28" s="71"/>
    </row>
    <row r="29" spans="1:14">
      <c r="A29" s="74"/>
      <c r="B29" s="134"/>
      <c r="C29" s="135" t="s">
        <v>203</v>
      </c>
      <c r="D29" s="77">
        <v>-0.129</v>
      </c>
      <c r="E29" s="77">
        <v>-4.4999999999999998E-2</v>
      </c>
      <c r="F29" s="77">
        <v>0.154</v>
      </c>
      <c r="G29" s="77">
        <v>-0.08</v>
      </c>
      <c r="H29" s="77">
        <v>0.36599999999999999</v>
      </c>
      <c r="I29" s="77">
        <v>-0.20399999999999999</v>
      </c>
      <c r="J29" s="77">
        <v>0.14499999999999999</v>
      </c>
      <c r="K29" s="77">
        <v>-6.4000000000000001E-2</v>
      </c>
      <c r="L29" s="77">
        <v>0.14499999999999999</v>
      </c>
      <c r="M29" s="79">
        <v>0.02</v>
      </c>
      <c r="N29" s="71"/>
    </row>
    <row r="30" spans="1:14">
      <c r="A30" s="74"/>
      <c r="B30" s="134"/>
      <c r="C30" s="135" t="s">
        <v>204</v>
      </c>
      <c r="D30" s="77">
        <v>7.9000000000000001E-2</v>
      </c>
      <c r="E30" s="77">
        <v>9.0999999999999998E-2</v>
      </c>
      <c r="F30" s="77">
        <v>-0.124</v>
      </c>
      <c r="G30" s="77">
        <v>-4.3999999999999997E-2</v>
      </c>
      <c r="H30" s="77">
        <v>0.27400000000000002</v>
      </c>
      <c r="I30" s="77">
        <v>0.24299999999999999</v>
      </c>
      <c r="J30" s="77">
        <v>-0.109</v>
      </c>
      <c r="K30" s="77">
        <v>8.5999999999999993E-2</v>
      </c>
      <c r="L30" s="77">
        <v>5.8999999999999997E-2</v>
      </c>
      <c r="M30" s="79">
        <v>-5.7000000000000002E-2</v>
      </c>
      <c r="N30" s="71"/>
    </row>
    <row r="31" spans="1:14">
      <c r="A31" s="74"/>
      <c r="B31" s="134"/>
      <c r="C31" s="135" t="s">
        <v>205</v>
      </c>
      <c r="D31" s="77">
        <v>-0.16200000000000001</v>
      </c>
      <c r="E31" s="77">
        <v>-0.115</v>
      </c>
      <c r="F31" s="77">
        <v>0.23400000000000001</v>
      </c>
      <c r="G31" s="77">
        <v>0.41</v>
      </c>
      <c r="H31" s="77">
        <v>-7.9000000000000001E-2</v>
      </c>
      <c r="I31" s="77">
        <v>0.192</v>
      </c>
      <c r="J31" s="77">
        <v>8.5000000000000006E-2</v>
      </c>
      <c r="K31" s="77">
        <v>-0.314</v>
      </c>
      <c r="L31" s="77">
        <v>-0.12</v>
      </c>
      <c r="M31" s="79">
        <v>0.23</v>
      </c>
      <c r="N31" s="71"/>
    </row>
    <row r="32" spans="1:14">
      <c r="A32" s="74"/>
      <c r="B32" s="134"/>
      <c r="C32" s="135" t="s">
        <v>206</v>
      </c>
      <c r="D32" s="77">
        <v>-3.9E-2</v>
      </c>
      <c r="E32" s="77">
        <v>0.156</v>
      </c>
      <c r="F32" s="77">
        <v>0.39300000000000002</v>
      </c>
      <c r="G32" s="77">
        <v>-3.5999999999999997E-2</v>
      </c>
      <c r="H32" s="77">
        <v>-0.15</v>
      </c>
      <c r="I32" s="77">
        <v>2.3E-2</v>
      </c>
      <c r="J32" s="77">
        <v>7.5999999999999998E-2</v>
      </c>
      <c r="K32" s="77">
        <v>2.7E-2</v>
      </c>
      <c r="L32" s="77">
        <v>-4.8000000000000001E-2</v>
      </c>
      <c r="M32" s="79">
        <v>0.25900000000000001</v>
      </c>
      <c r="N32" s="71"/>
    </row>
    <row r="33" spans="1:14">
      <c r="A33" s="74"/>
      <c r="B33" s="134"/>
      <c r="C33" s="135" t="s">
        <v>207</v>
      </c>
      <c r="D33" s="77">
        <v>0.123</v>
      </c>
      <c r="E33" s="77">
        <v>0.108</v>
      </c>
      <c r="F33" s="77">
        <v>0.17699999999999999</v>
      </c>
      <c r="G33" s="77">
        <v>0.22600000000000001</v>
      </c>
      <c r="H33" s="77">
        <v>-0.157</v>
      </c>
      <c r="I33" s="77">
        <v>1.2999999999999999E-2</v>
      </c>
      <c r="J33" s="77">
        <v>-3.4000000000000002E-2</v>
      </c>
      <c r="K33" s="77">
        <v>0.4</v>
      </c>
      <c r="L33" s="77">
        <v>7.0999999999999994E-2</v>
      </c>
      <c r="M33" s="79">
        <v>0.36199999999999999</v>
      </c>
      <c r="N33" s="71"/>
    </row>
    <row r="34" spans="1:14">
      <c r="A34" s="74"/>
      <c r="B34" s="134"/>
      <c r="C34" s="135" t="s">
        <v>208</v>
      </c>
      <c r="D34" s="77">
        <v>-6.2E-2</v>
      </c>
      <c r="E34" s="77">
        <v>-0.16800000000000001</v>
      </c>
      <c r="F34" s="77">
        <v>-1.6E-2</v>
      </c>
      <c r="G34" s="77">
        <v>0.35799999999999998</v>
      </c>
      <c r="H34" s="77">
        <v>0.01</v>
      </c>
      <c r="I34" s="77">
        <v>-2.1999999999999999E-2</v>
      </c>
      <c r="J34" s="77">
        <v>0.20499999999999999</v>
      </c>
      <c r="K34" s="77">
        <v>0.27100000000000002</v>
      </c>
      <c r="L34" s="77">
        <v>0.158</v>
      </c>
      <c r="M34" s="79">
        <v>0.1</v>
      </c>
      <c r="N34" s="71"/>
    </row>
    <row r="35" spans="1:14">
      <c r="A35" s="74"/>
      <c r="B35" s="134"/>
      <c r="C35" s="135" t="s">
        <v>209</v>
      </c>
      <c r="D35" s="77">
        <v>1.7000000000000001E-2</v>
      </c>
      <c r="E35" s="77">
        <v>-7.9000000000000001E-2</v>
      </c>
      <c r="F35" s="77">
        <v>2E-3</v>
      </c>
      <c r="G35" s="77">
        <v>0.20200000000000001</v>
      </c>
      <c r="H35" s="77">
        <v>-0.23300000000000001</v>
      </c>
      <c r="I35" s="77">
        <v>0.19500000000000001</v>
      </c>
      <c r="J35" s="77">
        <v>9.5000000000000001E-2</v>
      </c>
      <c r="K35" s="77">
        <v>0.22900000000000001</v>
      </c>
      <c r="L35" s="77">
        <v>0.03</v>
      </c>
      <c r="M35" s="79">
        <v>0.20399999999999999</v>
      </c>
      <c r="N35" s="71"/>
    </row>
    <row r="36" spans="1:14">
      <c r="A36" s="74"/>
      <c r="B36" s="134"/>
      <c r="C36" s="135" t="s">
        <v>210</v>
      </c>
      <c r="D36" s="77">
        <v>-3.0000000000000001E-3</v>
      </c>
      <c r="E36" s="77">
        <v>-7.1999999999999995E-2</v>
      </c>
      <c r="F36" s="77">
        <v>5.0999999999999997E-2</v>
      </c>
      <c r="G36" s="77">
        <v>-0.21199999999999999</v>
      </c>
      <c r="H36" s="77">
        <v>0.16800000000000001</v>
      </c>
      <c r="I36" s="77">
        <v>7.5999999999999998E-2</v>
      </c>
      <c r="J36" s="77">
        <v>-3.2000000000000001E-2</v>
      </c>
      <c r="K36" s="77">
        <v>2.5000000000000001E-2</v>
      </c>
      <c r="L36" s="77">
        <v>9.2999999999999999E-2</v>
      </c>
      <c r="M36" s="79">
        <v>8.6999999999999994E-2</v>
      </c>
      <c r="N36" s="71"/>
    </row>
    <row r="37" spans="1:14">
      <c r="A37" s="74"/>
      <c r="B37" s="134"/>
      <c r="C37" s="135" t="s">
        <v>211</v>
      </c>
      <c r="D37" s="77">
        <v>0.121</v>
      </c>
      <c r="E37" s="77">
        <v>-0.246</v>
      </c>
      <c r="F37" s="77">
        <v>0.48</v>
      </c>
      <c r="G37" s="77">
        <v>-9.0999999999999998E-2</v>
      </c>
      <c r="H37" s="77">
        <v>-0.25900000000000001</v>
      </c>
      <c r="I37" s="77">
        <v>0.23300000000000001</v>
      </c>
      <c r="J37" s="77">
        <v>7.2999999999999995E-2</v>
      </c>
      <c r="K37" s="77">
        <v>-0.14000000000000001</v>
      </c>
      <c r="L37" s="77">
        <v>0.22600000000000001</v>
      </c>
      <c r="M37" s="79">
        <v>0.28199999999999997</v>
      </c>
      <c r="N37" s="71"/>
    </row>
    <row r="38" spans="1:14">
      <c r="A38" s="74"/>
      <c r="B38" s="134"/>
      <c r="C38" s="135" t="s">
        <v>212</v>
      </c>
      <c r="D38" s="77">
        <v>-0.13100000000000001</v>
      </c>
      <c r="E38" s="77">
        <v>0.40100000000000002</v>
      </c>
      <c r="F38" s="77">
        <v>0.11799999999999999</v>
      </c>
      <c r="G38" s="77">
        <v>-0.17899999999999999</v>
      </c>
      <c r="H38" s="77">
        <v>0.41099999999999998</v>
      </c>
      <c r="I38" s="77">
        <v>-0.184</v>
      </c>
      <c r="J38" s="77">
        <v>2.8000000000000001E-2</v>
      </c>
      <c r="K38" s="77">
        <v>0.68700000000000006</v>
      </c>
      <c r="L38" s="77">
        <v>2E-3</v>
      </c>
      <c r="M38" s="79">
        <v>0.21299999999999999</v>
      </c>
      <c r="N38" s="71"/>
    </row>
    <row r="39" spans="1:14">
      <c r="A39" s="74"/>
      <c r="B39" s="134"/>
      <c r="C39" s="135" t="s">
        <v>213</v>
      </c>
      <c r="D39" s="77">
        <v>0.251</v>
      </c>
      <c r="E39" s="77">
        <v>-6.3E-2</v>
      </c>
      <c r="F39" s="77">
        <v>-0.28100000000000003</v>
      </c>
      <c r="G39" s="77">
        <v>0.23899999999999999</v>
      </c>
      <c r="H39" s="77">
        <v>0.3</v>
      </c>
      <c r="I39" s="77">
        <v>0.193</v>
      </c>
      <c r="J39" s="77">
        <v>7.5999999999999998E-2</v>
      </c>
      <c r="K39" s="77">
        <v>-0.22800000000000001</v>
      </c>
      <c r="L39" s="77">
        <v>0.374</v>
      </c>
      <c r="M39" s="79">
        <v>0.40500000000000003</v>
      </c>
      <c r="N39" s="71"/>
    </row>
    <row r="40" spans="1:14">
      <c r="A40" s="74"/>
      <c r="B40" s="134"/>
      <c r="C40" s="135" t="s">
        <v>214</v>
      </c>
      <c r="D40" s="77">
        <v>-4.2000000000000003E-2</v>
      </c>
      <c r="E40" s="77">
        <v>-1.2999999999999999E-2</v>
      </c>
      <c r="F40" s="77">
        <v>0.154</v>
      </c>
      <c r="G40" s="77">
        <v>0.44400000000000001</v>
      </c>
      <c r="H40" s="77">
        <v>-7.0000000000000001E-3</v>
      </c>
      <c r="I40" s="77">
        <v>-1.2999999999999999E-2</v>
      </c>
      <c r="J40" s="77">
        <v>-0.377</v>
      </c>
      <c r="K40" s="77">
        <v>0.17899999999999999</v>
      </c>
      <c r="L40" s="77">
        <v>-5.2999999999999999E-2</v>
      </c>
      <c r="M40" s="79">
        <v>1.9E-2</v>
      </c>
      <c r="N40" s="71"/>
    </row>
    <row r="41" spans="1:14">
      <c r="A41" s="74"/>
      <c r="B41" s="134"/>
      <c r="C41" s="135" t="s">
        <v>215</v>
      </c>
      <c r="D41" s="77">
        <v>5.2999999999999999E-2</v>
      </c>
      <c r="E41" s="77">
        <v>0.224</v>
      </c>
      <c r="F41" s="77">
        <v>2.8000000000000001E-2</v>
      </c>
      <c r="G41" s="77">
        <v>-0.26800000000000002</v>
      </c>
      <c r="H41" s="77">
        <v>0.1</v>
      </c>
      <c r="I41" s="77">
        <v>-5.8999999999999997E-2</v>
      </c>
      <c r="J41" s="77">
        <v>-0.14399999999999999</v>
      </c>
      <c r="K41" s="77">
        <v>-0.14599999999999999</v>
      </c>
      <c r="L41" s="77">
        <v>-9.7000000000000003E-2</v>
      </c>
      <c r="M41" s="79">
        <v>0.107</v>
      </c>
      <c r="N41" s="71"/>
    </row>
    <row r="42" spans="1:14">
      <c r="A42" s="74"/>
      <c r="B42" s="134"/>
      <c r="C42" s="135" t="s">
        <v>216</v>
      </c>
      <c r="D42" s="77">
        <v>8.2000000000000003E-2</v>
      </c>
      <c r="E42" s="77">
        <v>-0.13200000000000001</v>
      </c>
      <c r="F42" s="77">
        <v>0.25</v>
      </c>
      <c r="G42" s="77">
        <v>-0.26400000000000001</v>
      </c>
      <c r="H42" s="77">
        <v>0.36799999999999999</v>
      </c>
      <c r="I42" s="77">
        <v>-0.33700000000000002</v>
      </c>
      <c r="J42" s="77">
        <v>-0.08</v>
      </c>
      <c r="K42" s="77">
        <v>0.182</v>
      </c>
      <c r="L42" s="77">
        <v>6.8000000000000005E-2</v>
      </c>
      <c r="M42" s="79">
        <v>0.27600000000000002</v>
      </c>
      <c r="N42" s="71"/>
    </row>
    <row r="43" spans="1:14">
      <c r="A43" s="74"/>
      <c r="B43" s="134"/>
      <c r="C43" s="135" t="s">
        <v>217</v>
      </c>
      <c r="D43" s="77">
        <v>-0.17199999999999999</v>
      </c>
      <c r="E43" s="77">
        <v>0.35199999999999998</v>
      </c>
      <c r="F43" s="77">
        <v>0.36899999999999999</v>
      </c>
      <c r="G43" s="77">
        <v>-3.5999999999999997E-2</v>
      </c>
      <c r="H43" s="77">
        <v>-0.14000000000000001</v>
      </c>
      <c r="I43" s="77">
        <v>2.3E-2</v>
      </c>
      <c r="J43" s="77">
        <v>-2.9000000000000001E-2</v>
      </c>
      <c r="K43" s="77">
        <v>0.42899999999999999</v>
      </c>
      <c r="L43" s="77">
        <v>-0.11700000000000001</v>
      </c>
      <c r="M43" s="79">
        <v>-0.22</v>
      </c>
      <c r="N43" s="71"/>
    </row>
    <row r="44" spans="1:14">
      <c r="A44" s="74"/>
      <c r="B44" s="134"/>
      <c r="C44" s="135" t="s">
        <v>218</v>
      </c>
      <c r="D44" s="77">
        <v>2.1999999999999999E-2</v>
      </c>
      <c r="E44" s="77">
        <v>0.314</v>
      </c>
      <c r="F44" s="77">
        <v>-8.6999999999999994E-2</v>
      </c>
      <c r="G44" s="77">
        <v>3.4000000000000002E-2</v>
      </c>
      <c r="H44" s="77">
        <v>-0.124</v>
      </c>
      <c r="I44" s="77">
        <v>0.27400000000000002</v>
      </c>
      <c r="J44" s="77">
        <v>-0.124</v>
      </c>
      <c r="K44" s="77">
        <v>-0.16900000000000001</v>
      </c>
      <c r="L44" s="77">
        <v>0.37</v>
      </c>
      <c r="M44" s="79">
        <v>9.5000000000000001E-2</v>
      </c>
      <c r="N44" s="71"/>
    </row>
    <row r="45" spans="1:14">
      <c r="A45" s="74"/>
      <c r="B45" s="134"/>
      <c r="C45" s="135" t="s">
        <v>219</v>
      </c>
      <c r="D45" s="77">
        <v>0.16300000000000001</v>
      </c>
      <c r="E45" s="77">
        <v>-0.111</v>
      </c>
      <c r="F45" s="77">
        <v>4.2999999999999997E-2</v>
      </c>
      <c r="G45" s="77">
        <v>0.223</v>
      </c>
      <c r="H45" s="77">
        <v>-0.158</v>
      </c>
      <c r="I45" s="77">
        <v>0.439</v>
      </c>
      <c r="J45" s="77">
        <v>-0.379</v>
      </c>
      <c r="K45" s="77">
        <v>0.22800000000000001</v>
      </c>
      <c r="L45" s="77">
        <v>0.104</v>
      </c>
      <c r="M45" s="79">
        <v>0.27700000000000002</v>
      </c>
      <c r="N45" s="71"/>
    </row>
    <row r="46" spans="1:14">
      <c r="A46" s="74"/>
      <c r="B46" s="134"/>
      <c r="C46" s="135" t="s">
        <v>220</v>
      </c>
      <c r="D46" s="77">
        <v>4.0000000000000001E-3</v>
      </c>
      <c r="E46" s="77">
        <v>-8.6999999999999994E-2</v>
      </c>
      <c r="F46" s="77">
        <v>-3.6999999999999998E-2</v>
      </c>
      <c r="G46" s="77">
        <v>0.189</v>
      </c>
      <c r="H46" s="77">
        <v>-0.13200000000000001</v>
      </c>
      <c r="I46" s="77">
        <v>-0.29399999999999998</v>
      </c>
      <c r="J46" s="77">
        <v>0.23100000000000001</v>
      </c>
      <c r="K46" s="77">
        <v>-0.23300000000000001</v>
      </c>
      <c r="L46" s="77">
        <v>-1.0999999999999999E-2</v>
      </c>
      <c r="M46" s="79">
        <v>0.27300000000000002</v>
      </c>
      <c r="N46" s="71"/>
    </row>
    <row r="47" spans="1:14">
      <c r="A47" s="74"/>
      <c r="B47" s="134"/>
      <c r="C47" s="135" t="s">
        <v>221</v>
      </c>
      <c r="D47" s="77">
        <v>0.121</v>
      </c>
      <c r="E47" s="77">
        <v>3.6999999999999998E-2</v>
      </c>
      <c r="F47" s="77">
        <v>-0.158</v>
      </c>
      <c r="G47" s="77">
        <v>3.7999999999999999E-2</v>
      </c>
      <c r="H47" s="77">
        <v>-0.26300000000000001</v>
      </c>
      <c r="I47" s="77">
        <v>-0.122</v>
      </c>
      <c r="J47" s="77">
        <v>0.16900000000000001</v>
      </c>
      <c r="K47" s="77">
        <v>-7.0000000000000001E-3</v>
      </c>
      <c r="L47" s="77">
        <v>0.36199999999999999</v>
      </c>
      <c r="M47" s="79">
        <v>-5.2999999999999999E-2</v>
      </c>
      <c r="N47" s="71"/>
    </row>
    <row r="48" spans="1:14">
      <c r="A48" s="74"/>
      <c r="B48" s="134"/>
      <c r="C48" s="135" t="s">
        <v>222</v>
      </c>
      <c r="D48" s="77">
        <v>0.05</v>
      </c>
      <c r="E48" s="77">
        <v>0.17599999999999999</v>
      </c>
      <c r="F48" s="77">
        <v>5.6000000000000001E-2</v>
      </c>
      <c r="G48" s="77">
        <v>-0.127</v>
      </c>
      <c r="H48" s="77">
        <v>7.5999999999999998E-2</v>
      </c>
      <c r="I48" s="77">
        <v>0.31</v>
      </c>
      <c r="J48" s="77">
        <v>7.5999999999999998E-2</v>
      </c>
      <c r="K48" s="77">
        <v>-3.1E-2</v>
      </c>
      <c r="L48" s="77">
        <v>-7.5999999999999998E-2</v>
      </c>
      <c r="M48" s="79">
        <v>1.6E-2</v>
      </c>
      <c r="N48" s="71"/>
    </row>
    <row r="49" spans="1:15">
      <c r="A49" s="74"/>
      <c r="B49" s="134"/>
      <c r="C49" s="135" t="s">
        <v>223</v>
      </c>
      <c r="D49" s="77">
        <v>-5.8999999999999997E-2</v>
      </c>
      <c r="E49" s="77">
        <v>3.5000000000000003E-2</v>
      </c>
      <c r="F49" s="77">
        <v>0.16500000000000001</v>
      </c>
      <c r="G49" s="77">
        <v>0.23</v>
      </c>
      <c r="H49" s="77">
        <v>0.317</v>
      </c>
      <c r="I49" s="77">
        <v>0.222</v>
      </c>
      <c r="J49" s="77">
        <v>0.126</v>
      </c>
      <c r="K49" s="77">
        <v>4.2000000000000003E-2</v>
      </c>
      <c r="L49" s="77">
        <v>5.2999999999999999E-2</v>
      </c>
      <c r="M49" s="79">
        <v>-8.0000000000000002E-3</v>
      </c>
      <c r="N49" s="71"/>
    </row>
    <row r="50" spans="1:15">
      <c r="A50" s="74"/>
      <c r="B50" s="134"/>
      <c r="C50" s="135" t="s">
        <v>224</v>
      </c>
      <c r="D50" s="77">
        <v>0.215</v>
      </c>
      <c r="E50" s="77">
        <v>-0.186</v>
      </c>
      <c r="F50" s="77">
        <v>0.53400000000000003</v>
      </c>
      <c r="G50" s="77">
        <v>2.1000000000000001E-2</v>
      </c>
      <c r="H50" s="77">
        <v>-0.14799999999999999</v>
      </c>
      <c r="I50" s="77">
        <v>0.29699999999999999</v>
      </c>
      <c r="J50" s="77">
        <v>0.29899999999999999</v>
      </c>
      <c r="K50" s="77">
        <v>-0.215</v>
      </c>
      <c r="L50" s="77">
        <v>0.308</v>
      </c>
      <c r="M50" s="79">
        <v>-0.111</v>
      </c>
      <c r="N50" s="71"/>
    </row>
    <row r="51" spans="1:15">
      <c r="A51" s="74"/>
      <c r="B51" s="134"/>
      <c r="C51" s="135" t="s">
        <v>225</v>
      </c>
      <c r="D51" s="77">
        <v>6.4000000000000001E-2</v>
      </c>
      <c r="E51" s="77">
        <v>-0.26400000000000001</v>
      </c>
      <c r="F51" s="77">
        <v>0.78200000000000003</v>
      </c>
      <c r="G51" s="77">
        <v>0.20200000000000001</v>
      </c>
      <c r="H51" s="77">
        <v>0.375</v>
      </c>
      <c r="I51" s="77">
        <v>0.39400000000000002</v>
      </c>
      <c r="J51" s="77">
        <v>0.14099999999999999</v>
      </c>
      <c r="K51" s="77">
        <v>6.2E-2</v>
      </c>
      <c r="L51" s="77">
        <v>-0.19</v>
      </c>
      <c r="M51" s="79">
        <v>-0.16900000000000001</v>
      </c>
      <c r="N51" s="71"/>
    </row>
    <row r="52" spans="1:15">
      <c r="A52" s="74"/>
      <c r="B52" s="134"/>
      <c r="C52" s="135" t="s">
        <v>226</v>
      </c>
      <c r="D52" s="77">
        <v>0.184</v>
      </c>
      <c r="E52" s="77">
        <v>0.123</v>
      </c>
      <c r="F52" s="77">
        <v>5.8000000000000003E-2</v>
      </c>
      <c r="G52" s="77">
        <v>0.22</v>
      </c>
      <c r="H52" s="77">
        <v>-0.11700000000000001</v>
      </c>
      <c r="I52" s="77">
        <v>-0.33100000000000002</v>
      </c>
      <c r="J52" s="77">
        <v>-6.7000000000000004E-2</v>
      </c>
      <c r="K52" s="77">
        <v>-0.27500000000000002</v>
      </c>
      <c r="L52" s="77">
        <v>1E-3</v>
      </c>
      <c r="M52" s="79">
        <v>-2.1000000000000001E-2</v>
      </c>
      <c r="N52" s="71"/>
    </row>
    <row r="53" spans="1:15">
      <c r="A53" s="74"/>
      <c r="B53" s="134"/>
      <c r="C53" s="135" t="s">
        <v>227</v>
      </c>
      <c r="D53" s="77">
        <v>0.14899999999999999</v>
      </c>
      <c r="E53" s="77">
        <v>-5.8999999999999997E-2</v>
      </c>
      <c r="F53" s="77">
        <v>-0.13600000000000001</v>
      </c>
      <c r="G53" s="77">
        <v>3.9E-2</v>
      </c>
      <c r="H53" s="77">
        <v>-0.126</v>
      </c>
      <c r="I53" s="77">
        <v>0.193</v>
      </c>
      <c r="J53" s="77">
        <v>0.154</v>
      </c>
      <c r="K53" s="77">
        <v>0.19800000000000001</v>
      </c>
      <c r="L53" s="77">
        <v>-8.6999999999999994E-2</v>
      </c>
      <c r="M53" s="79">
        <v>0.254</v>
      </c>
      <c r="N53" s="71"/>
    </row>
    <row r="54" spans="1:15">
      <c r="A54" s="74"/>
      <c r="B54" s="134"/>
      <c r="C54" s="135" t="s">
        <v>228</v>
      </c>
      <c r="D54" s="77">
        <v>4.4999999999999998E-2</v>
      </c>
      <c r="E54" s="77">
        <v>-1.7999999999999999E-2</v>
      </c>
      <c r="F54" s="77">
        <v>-0.246</v>
      </c>
      <c r="G54" s="77">
        <v>-0.08</v>
      </c>
      <c r="H54" s="77">
        <v>0.34699999999999998</v>
      </c>
      <c r="I54" s="77">
        <v>-0.34</v>
      </c>
      <c r="J54" s="77">
        <v>-0.20300000000000001</v>
      </c>
      <c r="K54" s="77">
        <v>-6.0000000000000001E-3</v>
      </c>
      <c r="L54" s="77">
        <v>2.4E-2</v>
      </c>
      <c r="M54" s="79">
        <v>-2.1000000000000001E-2</v>
      </c>
      <c r="N54" s="71"/>
    </row>
    <row r="55" spans="1:15">
      <c r="A55" s="74"/>
      <c r="B55" s="134"/>
      <c r="C55" s="135" t="s">
        <v>229</v>
      </c>
      <c r="D55" s="77">
        <v>0.314</v>
      </c>
      <c r="E55" s="77">
        <v>0.57199999999999995</v>
      </c>
      <c r="F55" s="77">
        <v>-2E-3</v>
      </c>
      <c r="G55" s="77">
        <v>0.39200000000000002</v>
      </c>
      <c r="H55" s="77">
        <v>0.19600000000000001</v>
      </c>
      <c r="I55" s="77">
        <v>0.20100000000000001</v>
      </c>
      <c r="J55" s="77">
        <v>3.2000000000000001E-2</v>
      </c>
      <c r="K55" s="77">
        <v>1.9E-2</v>
      </c>
      <c r="L55" s="77">
        <v>0.21299999999999999</v>
      </c>
      <c r="M55" s="79">
        <v>3.6999999999999998E-2</v>
      </c>
      <c r="N55" s="71"/>
      <c r="O55" s="1"/>
    </row>
    <row r="56" spans="1:15">
      <c r="A56" s="74"/>
      <c r="B56" s="134"/>
      <c r="C56" s="135" t="s">
        <v>230</v>
      </c>
      <c r="D56" s="77">
        <v>6.2E-2</v>
      </c>
      <c r="E56" s="77">
        <v>-0.32800000000000001</v>
      </c>
      <c r="F56" s="77">
        <v>0.17</v>
      </c>
      <c r="G56" s="77">
        <v>2.4E-2</v>
      </c>
      <c r="H56" s="77">
        <v>7.0000000000000001E-3</v>
      </c>
      <c r="I56" s="77">
        <v>0.11700000000000001</v>
      </c>
      <c r="J56" s="77">
        <v>0.20100000000000001</v>
      </c>
      <c r="K56" s="77">
        <v>4.3999999999999997E-2</v>
      </c>
      <c r="L56" s="77">
        <v>0.20699999999999999</v>
      </c>
      <c r="M56" s="79">
        <v>-0.27</v>
      </c>
      <c r="N56" s="71"/>
    </row>
    <row r="57" spans="1:15">
      <c r="A57" s="74"/>
      <c r="B57" s="134"/>
      <c r="C57" s="135" t="s">
        <v>231</v>
      </c>
      <c r="D57" s="77">
        <v>0.52100000000000002</v>
      </c>
      <c r="E57" s="77">
        <v>0.26700000000000002</v>
      </c>
      <c r="F57" s="77">
        <v>0.20699999999999999</v>
      </c>
      <c r="G57" s="77">
        <v>0.13700000000000001</v>
      </c>
      <c r="H57" s="77">
        <v>-0.222</v>
      </c>
      <c r="I57" s="77">
        <v>-0.19500000000000001</v>
      </c>
      <c r="J57" s="77">
        <v>-0.27600000000000002</v>
      </c>
      <c r="K57" s="77">
        <v>-3.3000000000000002E-2</v>
      </c>
      <c r="L57" s="77">
        <v>6.6000000000000003E-2</v>
      </c>
      <c r="M57" s="79">
        <v>-7.5999999999999998E-2</v>
      </c>
      <c r="N57" s="71"/>
    </row>
    <row r="58" spans="1:15">
      <c r="A58" s="74"/>
      <c r="B58" s="134"/>
      <c r="C58" s="135" t="s">
        <v>232</v>
      </c>
      <c r="D58" s="77">
        <v>0.13300000000000001</v>
      </c>
      <c r="E58" s="77">
        <v>-0.23300000000000001</v>
      </c>
      <c r="F58" s="77">
        <v>0.63800000000000001</v>
      </c>
      <c r="G58" s="77">
        <v>0.29499999999999998</v>
      </c>
      <c r="H58" s="77">
        <v>0.22500000000000001</v>
      </c>
      <c r="I58" s="77">
        <v>0.23799999999999999</v>
      </c>
      <c r="J58" s="77">
        <v>0.218</v>
      </c>
      <c r="K58" s="77">
        <v>-0.218</v>
      </c>
      <c r="L58" s="77">
        <v>-3.3000000000000002E-2</v>
      </c>
      <c r="M58" s="79">
        <v>0.108</v>
      </c>
      <c r="N58" s="71"/>
    </row>
    <row r="59" spans="1:15">
      <c r="A59" s="74"/>
      <c r="B59" s="134"/>
      <c r="C59" s="135" t="s">
        <v>233</v>
      </c>
      <c r="D59" s="77">
        <v>0.45</v>
      </c>
      <c r="E59" s="77">
        <v>1.9E-2</v>
      </c>
      <c r="F59" s="77">
        <v>-4.4999999999999998E-2</v>
      </c>
      <c r="G59" s="77">
        <v>-4.0000000000000001E-3</v>
      </c>
      <c r="H59" s="77">
        <v>-0.20899999999999999</v>
      </c>
      <c r="I59" s="77">
        <v>-3.5999999999999997E-2</v>
      </c>
      <c r="J59" s="77">
        <v>0.58699999999999997</v>
      </c>
      <c r="K59" s="77">
        <v>4.9000000000000002E-2</v>
      </c>
      <c r="L59" s="77">
        <v>0.104</v>
      </c>
      <c r="M59" s="79">
        <v>7.6999999999999999E-2</v>
      </c>
      <c r="N59" s="71"/>
    </row>
    <row r="60" spans="1:15">
      <c r="A60" s="74"/>
      <c r="B60" s="134"/>
      <c r="C60" s="135" t="s">
        <v>234</v>
      </c>
      <c r="D60" s="77">
        <v>-6.7000000000000004E-2</v>
      </c>
      <c r="E60" s="77">
        <v>0.01</v>
      </c>
      <c r="F60" s="77">
        <v>6.9000000000000006E-2</v>
      </c>
      <c r="G60" s="77">
        <v>-0.109</v>
      </c>
      <c r="H60" s="77">
        <v>-2E-3</v>
      </c>
      <c r="I60" s="77">
        <v>-7.9000000000000001E-2</v>
      </c>
      <c r="J60" s="77">
        <v>8.5999999999999993E-2</v>
      </c>
      <c r="K60" s="77">
        <v>6.8000000000000005E-2</v>
      </c>
      <c r="L60" s="77">
        <v>-0.10100000000000001</v>
      </c>
      <c r="M60" s="79">
        <v>-0.157</v>
      </c>
      <c r="N60" s="71"/>
    </row>
    <row r="61" spans="1:15">
      <c r="A61" s="74"/>
      <c r="B61" s="134"/>
      <c r="C61" s="135" t="s">
        <v>235</v>
      </c>
      <c r="D61" s="77">
        <v>-8.9999999999999993E-3</v>
      </c>
      <c r="E61" s="77">
        <v>-0.28000000000000003</v>
      </c>
      <c r="F61" s="77">
        <v>6.9000000000000006E-2</v>
      </c>
      <c r="G61" s="77">
        <v>-1.4999999999999999E-2</v>
      </c>
      <c r="H61" s="77">
        <v>0.47299999999999998</v>
      </c>
      <c r="I61" s="77">
        <v>0.32300000000000001</v>
      </c>
      <c r="J61" s="77">
        <v>0.128</v>
      </c>
      <c r="K61" s="77">
        <v>-2.9000000000000001E-2</v>
      </c>
      <c r="L61" s="77">
        <v>0.53900000000000003</v>
      </c>
      <c r="M61" s="79">
        <v>-0.188</v>
      </c>
      <c r="N61" s="71"/>
    </row>
    <row r="62" spans="1:15">
      <c r="A62" s="74"/>
      <c r="B62" s="134"/>
      <c r="C62" s="135" t="s">
        <v>236</v>
      </c>
      <c r="D62" s="77">
        <v>-6.7000000000000004E-2</v>
      </c>
      <c r="E62" s="77">
        <v>-6.9000000000000006E-2</v>
      </c>
      <c r="F62" s="77">
        <v>0.13300000000000001</v>
      </c>
      <c r="G62" s="77">
        <v>-0.13400000000000001</v>
      </c>
      <c r="H62" s="77">
        <v>-4.3999999999999997E-2</v>
      </c>
      <c r="I62" s="77">
        <v>-0.26800000000000002</v>
      </c>
      <c r="J62" s="77">
        <v>0.153</v>
      </c>
      <c r="K62" s="77">
        <v>0.6</v>
      </c>
      <c r="L62" s="77">
        <v>-4.8000000000000001E-2</v>
      </c>
      <c r="M62" s="79">
        <v>0.313</v>
      </c>
      <c r="N62" s="71"/>
    </row>
    <row r="63" spans="1:15">
      <c r="A63" s="74"/>
      <c r="B63" s="134"/>
      <c r="C63" s="135" t="s">
        <v>237</v>
      </c>
      <c r="D63" s="77">
        <v>-4.2999999999999997E-2</v>
      </c>
      <c r="E63" s="77">
        <v>0.11899999999999999</v>
      </c>
      <c r="F63" s="77">
        <v>4.3999999999999997E-2</v>
      </c>
      <c r="G63" s="77">
        <v>1.4E-2</v>
      </c>
      <c r="H63" s="77">
        <v>0.13100000000000001</v>
      </c>
      <c r="I63" s="77">
        <v>-0.115</v>
      </c>
      <c r="J63" s="77">
        <v>-0.20100000000000001</v>
      </c>
      <c r="K63" s="77">
        <v>-5.0999999999999997E-2</v>
      </c>
      <c r="L63" s="77">
        <v>0.38400000000000001</v>
      </c>
      <c r="M63" s="79">
        <v>-9.0999999999999998E-2</v>
      </c>
      <c r="N63" s="71"/>
    </row>
    <row r="64" spans="1:15">
      <c r="A64" s="74"/>
      <c r="B64" s="134"/>
      <c r="C64" s="135" t="s">
        <v>238</v>
      </c>
      <c r="D64" s="77">
        <v>-0.16200000000000001</v>
      </c>
      <c r="E64" s="77">
        <v>0.39100000000000001</v>
      </c>
      <c r="F64" s="77">
        <v>0.182</v>
      </c>
      <c r="G64" s="77">
        <v>8.3000000000000004E-2</v>
      </c>
      <c r="H64" s="77">
        <v>0.26400000000000001</v>
      </c>
      <c r="I64" s="77">
        <v>0.10199999999999999</v>
      </c>
      <c r="J64" s="77">
        <v>-0.215</v>
      </c>
      <c r="K64" s="77">
        <v>-0.19</v>
      </c>
      <c r="L64" s="77">
        <v>8.5999999999999993E-2</v>
      </c>
      <c r="M64" s="79">
        <v>0.11600000000000001</v>
      </c>
      <c r="N64" s="71"/>
    </row>
    <row r="65" spans="1:14">
      <c r="A65" s="74"/>
      <c r="B65" s="134"/>
      <c r="C65" s="135" t="s">
        <v>239</v>
      </c>
      <c r="D65" s="77">
        <v>-0.13400000000000001</v>
      </c>
      <c r="E65" s="77">
        <v>0.216</v>
      </c>
      <c r="F65" s="77">
        <v>0.45800000000000002</v>
      </c>
      <c r="G65" s="77">
        <v>-0.3</v>
      </c>
      <c r="H65" s="77">
        <v>5.0000000000000001E-3</v>
      </c>
      <c r="I65" s="77">
        <v>9.8000000000000004E-2</v>
      </c>
      <c r="J65" s="77">
        <v>-0.24199999999999999</v>
      </c>
      <c r="K65" s="77">
        <v>0.34300000000000003</v>
      </c>
      <c r="L65" s="77">
        <v>-1.4999999999999999E-2</v>
      </c>
      <c r="M65" s="79">
        <v>8.6999999999999994E-2</v>
      </c>
      <c r="N65" s="71"/>
    </row>
    <row r="66" spans="1:14">
      <c r="A66" s="74"/>
      <c r="B66" s="134"/>
      <c r="C66" s="135" t="s">
        <v>240</v>
      </c>
      <c r="D66" s="77">
        <v>0.27500000000000002</v>
      </c>
      <c r="E66" s="77">
        <v>-7.9000000000000001E-2</v>
      </c>
      <c r="F66" s="77">
        <v>-0.10299999999999999</v>
      </c>
      <c r="G66" s="77">
        <v>6.6000000000000003E-2</v>
      </c>
      <c r="H66" s="77">
        <v>-6.7000000000000004E-2</v>
      </c>
      <c r="I66" s="77">
        <v>0.126</v>
      </c>
      <c r="J66" s="77">
        <v>7.3999999999999996E-2</v>
      </c>
      <c r="K66" s="77">
        <v>1.4E-2</v>
      </c>
      <c r="L66" s="77">
        <v>0.18099999999999999</v>
      </c>
      <c r="M66" s="79">
        <v>9.0999999999999998E-2</v>
      </c>
      <c r="N66" s="71"/>
    </row>
    <row r="67" spans="1:14">
      <c r="A67" s="74"/>
      <c r="B67" s="134"/>
      <c r="C67" s="135" t="s">
        <v>241</v>
      </c>
      <c r="D67" s="77">
        <v>0.254</v>
      </c>
      <c r="E67" s="77">
        <v>0.19</v>
      </c>
      <c r="F67" s="77">
        <v>-0.125</v>
      </c>
      <c r="G67" s="77">
        <v>0.01</v>
      </c>
      <c r="H67" s="77">
        <v>2.3E-2</v>
      </c>
      <c r="I67" s="77">
        <v>-2E-3</v>
      </c>
      <c r="J67" s="77">
        <v>-2.8000000000000001E-2</v>
      </c>
      <c r="K67" s="77">
        <v>-9.4E-2</v>
      </c>
      <c r="L67" s="77">
        <v>0.32900000000000001</v>
      </c>
      <c r="M67" s="79">
        <v>-0.27600000000000002</v>
      </c>
      <c r="N67" s="71"/>
    </row>
    <row r="68" spans="1:14">
      <c r="A68" s="74"/>
      <c r="B68" s="134"/>
      <c r="C68" s="135" t="s">
        <v>242</v>
      </c>
      <c r="D68" s="77">
        <v>0.216</v>
      </c>
      <c r="E68" s="77">
        <v>-3.7999999999999999E-2</v>
      </c>
      <c r="F68" s="77">
        <v>0.17399999999999999</v>
      </c>
      <c r="G68" s="77">
        <v>0.255</v>
      </c>
      <c r="H68" s="77">
        <v>-0.11600000000000001</v>
      </c>
      <c r="I68" s="77">
        <v>0.16</v>
      </c>
      <c r="J68" s="77">
        <v>0.307</v>
      </c>
      <c r="K68" s="77">
        <v>1.6E-2</v>
      </c>
      <c r="L68" s="77">
        <v>-0.33100000000000002</v>
      </c>
      <c r="M68" s="79">
        <v>0.20899999999999999</v>
      </c>
      <c r="N68" s="71"/>
    </row>
    <row r="69" spans="1:14">
      <c r="A69" s="74"/>
      <c r="B69" s="134"/>
      <c r="C69" s="135" t="s">
        <v>243</v>
      </c>
      <c r="D69" s="77">
        <v>0.317</v>
      </c>
      <c r="E69" s="77">
        <v>-5.5E-2</v>
      </c>
      <c r="F69" s="77">
        <v>-0.113</v>
      </c>
      <c r="G69" s="77">
        <v>0.28999999999999998</v>
      </c>
      <c r="H69" s="77">
        <v>-0.02</v>
      </c>
      <c r="I69" s="77">
        <v>-1.7000000000000001E-2</v>
      </c>
      <c r="J69" s="77">
        <v>0.17599999999999999</v>
      </c>
      <c r="K69" s="77">
        <v>0.14000000000000001</v>
      </c>
      <c r="L69" s="77">
        <v>8.1000000000000003E-2</v>
      </c>
      <c r="M69" s="79">
        <v>0.437</v>
      </c>
      <c r="N69" s="71"/>
    </row>
    <row r="70" spans="1:14">
      <c r="A70" s="74"/>
      <c r="B70" s="134"/>
      <c r="C70" s="135" t="s">
        <v>244</v>
      </c>
      <c r="D70" s="77">
        <v>-7.0000000000000001E-3</v>
      </c>
      <c r="E70" s="77">
        <v>-6.2E-2</v>
      </c>
      <c r="F70" s="77">
        <v>-0.33900000000000002</v>
      </c>
      <c r="G70" s="77">
        <v>-0.16700000000000001</v>
      </c>
      <c r="H70" s="77">
        <v>-1.7000000000000001E-2</v>
      </c>
      <c r="I70" s="77">
        <v>-0.224</v>
      </c>
      <c r="J70" s="77">
        <v>-0.20899999999999999</v>
      </c>
      <c r="K70" s="77">
        <v>-4.8000000000000001E-2</v>
      </c>
      <c r="L70" s="77">
        <v>0.37</v>
      </c>
      <c r="M70" s="79">
        <v>-7.8E-2</v>
      </c>
      <c r="N70" s="71"/>
    </row>
    <row r="71" spans="1:14">
      <c r="A71" s="74"/>
      <c r="B71" s="134"/>
      <c r="C71" s="135" t="s">
        <v>245</v>
      </c>
      <c r="D71" s="77">
        <v>-0.161</v>
      </c>
      <c r="E71" s="77">
        <v>0.16200000000000001</v>
      </c>
      <c r="F71" s="77">
        <v>0.21099999999999999</v>
      </c>
      <c r="G71" s="77">
        <v>6.6000000000000003E-2</v>
      </c>
      <c r="H71" s="77">
        <v>-0.13900000000000001</v>
      </c>
      <c r="I71" s="77">
        <v>0.32600000000000001</v>
      </c>
      <c r="J71" s="77">
        <v>6.5000000000000002E-2</v>
      </c>
      <c r="K71" s="77">
        <v>8.4000000000000005E-2</v>
      </c>
      <c r="L71" s="77">
        <v>5.5E-2</v>
      </c>
      <c r="M71" s="79">
        <v>-6.5000000000000002E-2</v>
      </c>
      <c r="N71" s="71"/>
    </row>
    <row r="72" spans="1:14">
      <c r="A72" s="74"/>
      <c r="B72" s="134"/>
      <c r="C72" s="135" t="s">
        <v>246</v>
      </c>
      <c r="D72" s="77">
        <v>0.20899999999999999</v>
      </c>
      <c r="E72" s="77">
        <v>3.2000000000000001E-2</v>
      </c>
      <c r="F72" s="77">
        <v>-4.1000000000000002E-2</v>
      </c>
      <c r="G72" s="77">
        <v>0.113</v>
      </c>
      <c r="H72" s="77">
        <v>-0.10100000000000001</v>
      </c>
      <c r="I72" s="77">
        <v>2.3E-2</v>
      </c>
      <c r="J72" s="77">
        <v>0.31</v>
      </c>
      <c r="K72" s="77">
        <v>0.247</v>
      </c>
      <c r="L72" s="77">
        <v>0.35899999999999999</v>
      </c>
      <c r="M72" s="79">
        <v>-0.153</v>
      </c>
      <c r="N72" s="71"/>
    </row>
    <row r="73" spans="1:14">
      <c r="A73" s="74"/>
      <c r="B73" s="134"/>
      <c r="C73" s="135" t="s">
        <v>247</v>
      </c>
      <c r="D73" s="77">
        <v>0.20799999999999999</v>
      </c>
      <c r="E73" s="77">
        <v>0.1</v>
      </c>
      <c r="F73" s="77">
        <v>0.10199999999999999</v>
      </c>
      <c r="G73" s="77">
        <v>-0.14099999999999999</v>
      </c>
      <c r="H73" s="77">
        <v>0.182</v>
      </c>
      <c r="I73" s="77">
        <v>-0.30599999999999999</v>
      </c>
      <c r="J73" s="77">
        <v>7.1999999999999995E-2</v>
      </c>
      <c r="K73" s="77">
        <v>-0.23100000000000001</v>
      </c>
      <c r="L73" s="77">
        <v>9.4E-2</v>
      </c>
      <c r="M73" s="79">
        <v>-1.9E-2</v>
      </c>
      <c r="N73" s="71"/>
    </row>
    <row r="74" spans="1:14">
      <c r="A74" s="74"/>
      <c r="B74" s="134"/>
      <c r="C74" s="135" t="s">
        <v>248</v>
      </c>
      <c r="D74" s="77">
        <v>0.13600000000000001</v>
      </c>
      <c r="E74" s="77">
        <v>-0.23200000000000001</v>
      </c>
      <c r="F74" s="77">
        <v>-7.0999999999999994E-2</v>
      </c>
      <c r="G74" s="77">
        <v>0.156</v>
      </c>
      <c r="H74" s="77">
        <v>0.13700000000000001</v>
      </c>
      <c r="I74" s="77">
        <v>-0.13700000000000001</v>
      </c>
      <c r="J74" s="77">
        <v>0.129</v>
      </c>
      <c r="K74" s="77">
        <v>-1.2999999999999999E-2</v>
      </c>
      <c r="L74" s="77">
        <v>-0.126</v>
      </c>
      <c r="M74" s="79">
        <v>0.56000000000000005</v>
      </c>
      <c r="N74" s="71"/>
    </row>
    <row r="75" spans="1:14">
      <c r="A75" s="74"/>
      <c r="B75" s="134"/>
      <c r="C75" s="135" t="s">
        <v>249</v>
      </c>
      <c r="D75" s="77">
        <v>0.14000000000000001</v>
      </c>
      <c r="E75" s="77">
        <v>0.21299999999999999</v>
      </c>
      <c r="F75" s="77">
        <v>0.06</v>
      </c>
      <c r="G75" s="77">
        <v>0.217</v>
      </c>
      <c r="H75" s="77">
        <v>6.8000000000000005E-2</v>
      </c>
      <c r="I75" s="77">
        <v>7.0999999999999994E-2</v>
      </c>
      <c r="J75" s="77">
        <v>0.20200000000000001</v>
      </c>
      <c r="K75" s="77">
        <v>-0.10199999999999999</v>
      </c>
      <c r="L75" s="77">
        <v>-0.16</v>
      </c>
      <c r="M75" s="79">
        <v>0.17199999999999999</v>
      </c>
      <c r="N75" s="71"/>
    </row>
    <row r="76" spans="1:14">
      <c r="A76" s="74"/>
      <c r="B76" s="134"/>
      <c r="C76" s="135" t="s">
        <v>250</v>
      </c>
      <c r="D76" s="77">
        <v>-0.13700000000000001</v>
      </c>
      <c r="E76" s="77">
        <v>8.6999999999999994E-2</v>
      </c>
      <c r="F76" s="77">
        <v>4.2999999999999997E-2</v>
      </c>
      <c r="G76" s="77">
        <v>0.25600000000000001</v>
      </c>
      <c r="H76" s="77">
        <v>-0.20499999999999999</v>
      </c>
      <c r="I76" s="77">
        <v>7.9000000000000001E-2</v>
      </c>
      <c r="J76" s="77">
        <v>-0.191</v>
      </c>
      <c r="K76" s="77">
        <v>0.24399999999999999</v>
      </c>
      <c r="L76" s="77">
        <v>0.38100000000000001</v>
      </c>
      <c r="M76" s="79">
        <v>0.153</v>
      </c>
      <c r="N76" s="71"/>
    </row>
    <row r="77" spans="1:14">
      <c r="A77" s="74"/>
      <c r="B77" s="134"/>
      <c r="C77" s="135" t="s">
        <v>251</v>
      </c>
      <c r="D77" s="77">
        <v>-4.1000000000000002E-2</v>
      </c>
      <c r="E77" s="77">
        <v>0.55400000000000005</v>
      </c>
      <c r="F77" s="77">
        <v>1.7999999999999999E-2</v>
      </c>
      <c r="G77" s="77">
        <v>0.45500000000000002</v>
      </c>
      <c r="H77" s="77">
        <v>2.5000000000000001E-2</v>
      </c>
      <c r="I77" s="77">
        <v>6.4000000000000001E-2</v>
      </c>
      <c r="J77" s="77">
        <v>0.245</v>
      </c>
      <c r="K77" s="77">
        <v>-0.313</v>
      </c>
      <c r="L77" s="77">
        <v>-5.3999999999999999E-2</v>
      </c>
      <c r="M77" s="79">
        <v>-0.109</v>
      </c>
      <c r="N77" s="71"/>
    </row>
    <row r="78" spans="1:14">
      <c r="A78" s="74"/>
      <c r="B78" s="134"/>
      <c r="C78" s="135" t="s">
        <v>252</v>
      </c>
      <c r="D78" s="77">
        <v>-9.1999999999999998E-2</v>
      </c>
      <c r="E78" s="77">
        <v>-0.20300000000000001</v>
      </c>
      <c r="F78" s="77">
        <v>-0.10299999999999999</v>
      </c>
      <c r="G78" s="77">
        <v>0.46400000000000002</v>
      </c>
      <c r="H78" s="77">
        <v>-0.02</v>
      </c>
      <c r="I78" s="77">
        <v>1.9E-2</v>
      </c>
      <c r="J78" s="77">
        <v>0.437</v>
      </c>
      <c r="K78" s="77">
        <v>-0.16800000000000001</v>
      </c>
      <c r="L78" s="77">
        <v>0.22700000000000001</v>
      </c>
      <c r="M78" s="79">
        <v>1.0999999999999999E-2</v>
      </c>
      <c r="N78" s="71"/>
    </row>
    <row r="79" spans="1:14">
      <c r="A79" s="74"/>
      <c r="B79" s="134"/>
      <c r="C79" s="135" t="s">
        <v>253</v>
      </c>
      <c r="D79" s="77">
        <v>0.191</v>
      </c>
      <c r="E79" s="77">
        <v>-0.107</v>
      </c>
      <c r="F79" s="77">
        <v>0.10299999999999999</v>
      </c>
      <c r="G79" s="77">
        <v>9.1999999999999998E-2</v>
      </c>
      <c r="H79" s="77">
        <v>-1.6E-2</v>
      </c>
      <c r="I79" s="77">
        <v>-0.23300000000000001</v>
      </c>
      <c r="J79" s="77">
        <v>0.42699999999999999</v>
      </c>
      <c r="K79" s="77">
        <v>-0.217</v>
      </c>
      <c r="L79" s="77">
        <v>5.5E-2</v>
      </c>
      <c r="M79" s="79">
        <v>-0.36899999999999999</v>
      </c>
      <c r="N79" s="71"/>
    </row>
    <row r="80" spans="1:14">
      <c r="A80" s="74"/>
      <c r="B80" s="134"/>
      <c r="C80" s="135" t="s">
        <v>254</v>
      </c>
      <c r="D80" s="77">
        <v>0.157</v>
      </c>
      <c r="E80" s="77">
        <v>7.3999999999999996E-2</v>
      </c>
      <c r="F80" s="77">
        <v>0.12</v>
      </c>
      <c r="G80" s="77">
        <v>0.17599999999999999</v>
      </c>
      <c r="H80" s="77">
        <v>7.0000000000000007E-2</v>
      </c>
      <c r="I80" s="77">
        <v>0.40100000000000002</v>
      </c>
      <c r="J80" s="77">
        <v>-0.11</v>
      </c>
      <c r="K80" s="77">
        <v>0.38900000000000001</v>
      </c>
      <c r="L80" s="77">
        <v>0.121</v>
      </c>
      <c r="M80" s="79">
        <v>0.33400000000000002</v>
      </c>
      <c r="N80" s="71"/>
    </row>
    <row r="81" spans="1:14">
      <c r="A81" s="74"/>
      <c r="B81" s="134"/>
      <c r="C81" s="135" t="s">
        <v>255</v>
      </c>
      <c r="D81" s="77">
        <v>0.16900000000000001</v>
      </c>
      <c r="E81" s="77">
        <v>0.11600000000000001</v>
      </c>
      <c r="F81" s="77">
        <v>-1.0999999999999999E-2</v>
      </c>
      <c r="G81" s="77">
        <v>4.7E-2</v>
      </c>
      <c r="H81" s="77">
        <v>-8.5999999999999993E-2</v>
      </c>
      <c r="I81" s="77">
        <v>-2.3E-2</v>
      </c>
      <c r="J81" s="77">
        <v>2E-3</v>
      </c>
      <c r="K81" s="77">
        <v>-4.2000000000000003E-2</v>
      </c>
      <c r="L81" s="77">
        <v>8.2000000000000003E-2</v>
      </c>
      <c r="M81" s="79">
        <v>-6.0999999999999999E-2</v>
      </c>
      <c r="N81" s="71"/>
    </row>
    <row r="82" spans="1:14">
      <c r="A82" s="74"/>
      <c r="B82" s="134"/>
      <c r="C82" s="135" t="s">
        <v>256</v>
      </c>
      <c r="D82" s="77">
        <v>-0.13700000000000001</v>
      </c>
      <c r="E82" s="77">
        <v>-9.5000000000000001E-2</v>
      </c>
      <c r="F82" s="77">
        <v>0.02</v>
      </c>
      <c r="G82" s="77">
        <v>-3.4000000000000002E-2</v>
      </c>
      <c r="H82" s="77">
        <v>0.115</v>
      </c>
      <c r="I82" s="77">
        <v>6.8000000000000005E-2</v>
      </c>
      <c r="J82" s="77">
        <v>0.17699999999999999</v>
      </c>
      <c r="K82" s="77">
        <v>0.38600000000000001</v>
      </c>
      <c r="L82" s="77">
        <v>-0.14799999999999999</v>
      </c>
      <c r="M82" s="79">
        <v>-4.3999999999999997E-2</v>
      </c>
      <c r="N82" s="71"/>
    </row>
    <row r="83" spans="1:14">
      <c r="A83" s="74"/>
      <c r="B83" s="134"/>
      <c r="C83" s="135" t="s">
        <v>257</v>
      </c>
      <c r="D83" s="77">
        <v>-0.14599999999999999</v>
      </c>
      <c r="E83" s="77">
        <v>0.108</v>
      </c>
      <c r="F83" s="77">
        <v>-0.219</v>
      </c>
      <c r="G83" s="77">
        <v>-4.5999999999999999E-2</v>
      </c>
      <c r="H83" s="77">
        <v>-0.245</v>
      </c>
      <c r="I83" s="77">
        <v>0.29199999999999998</v>
      </c>
      <c r="J83" s="77">
        <v>-0.224</v>
      </c>
      <c r="K83" s="77">
        <v>0.28399999999999997</v>
      </c>
      <c r="L83" s="77">
        <v>-0.219</v>
      </c>
      <c r="M83" s="79">
        <v>1.7999999999999999E-2</v>
      </c>
      <c r="N83" s="71"/>
    </row>
    <row r="84" spans="1:14">
      <c r="A84" s="74"/>
      <c r="B84" s="134"/>
      <c r="C84" s="135" t="s">
        <v>258</v>
      </c>
      <c r="D84" s="77">
        <v>0.20300000000000001</v>
      </c>
      <c r="E84" s="77">
        <v>0.28999999999999998</v>
      </c>
      <c r="F84" s="77">
        <v>2.1999999999999999E-2</v>
      </c>
      <c r="G84" s="77">
        <v>-0.16900000000000001</v>
      </c>
      <c r="H84" s="77">
        <v>-2.8000000000000001E-2</v>
      </c>
      <c r="I84" s="77">
        <v>-0.24</v>
      </c>
      <c r="J84" s="77">
        <v>3.2000000000000001E-2</v>
      </c>
      <c r="K84" s="77">
        <v>-7.5999999999999998E-2</v>
      </c>
      <c r="L84" s="77">
        <v>0.221</v>
      </c>
      <c r="M84" s="79">
        <v>4.7E-2</v>
      </c>
      <c r="N84" s="71"/>
    </row>
    <row r="85" spans="1:14">
      <c r="A85" s="74"/>
      <c r="B85" s="134"/>
      <c r="C85" s="135" t="s">
        <v>259</v>
      </c>
      <c r="D85" s="77">
        <v>0.186</v>
      </c>
      <c r="E85" s="77">
        <v>5.2999999999999999E-2</v>
      </c>
      <c r="F85" s="77">
        <v>9.4E-2</v>
      </c>
      <c r="G85" s="77">
        <v>0.189</v>
      </c>
      <c r="H85" s="77">
        <v>0.13600000000000001</v>
      </c>
      <c r="I85" s="77">
        <v>0.28699999999999998</v>
      </c>
      <c r="J85" s="77">
        <v>0.22800000000000001</v>
      </c>
      <c r="K85" s="77">
        <v>9.4E-2</v>
      </c>
      <c r="L85" s="77">
        <v>-0.29299999999999998</v>
      </c>
      <c r="M85" s="79">
        <v>0.24199999999999999</v>
      </c>
      <c r="N85" s="71"/>
    </row>
    <row r="86" spans="1:14">
      <c r="A86" s="74"/>
      <c r="B86" s="134"/>
      <c r="C86" s="135" t="s">
        <v>260</v>
      </c>
      <c r="D86" s="77">
        <v>0.30299999999999999</v>
      </c>
      <c r="E86" s="77">
        <v>-3.9E-2</v>
      </c>
      <c r="F86" s="77">
        <v>0.501</v>
      </c>
      <c r="G86" s="77">
        <v>0.59399999999999997</v>
      </c>
      <c r="H86" s="77">
        <v>0.11600000000000001</v>
      </c>
      <c r="I86" s="77">
        <v>0.107</v>
      </c>
      <c r="J86" s="77">
        <v>0.22500000000000001</v>
      </c>
      <c r="K86" s="77">
        <v>0.107</v>
      </c>
      <c r="L86" s="77">
        <v>0.54700000000000004</v>
      </c>
      <c r="M86" s="79">
        <v>-7.6999999999999999E-2</v>
      </c>
      <c r="N86" s="71"/>
    </row>
    <row r="87" spans="1:14">
      <c r="A87" s="74"/>
      <c r="B87" s="134"/>
      <c r="C87" s="135" t="s">
        <v>261</v>
      </c>
      <c r="D87" s="77">
        <v>0.45800000000000002</v>
      </c>
      <c r="E87" s="77">
        <v>3.9E-2</v>
      </c>
      <c r="F87" s="77">
        <v>0.23400000000000001</v>
      </c>
      <c r="G87" s="77">
        <v>-6.2E-2</v>
      </c>
      <c r="H87" s="77">
        <v>-3.9E-2</v>
      </c>
      <c r="I87" s="77">
        <v>0.2</v>
      </c>
      <c r="J87" s="77">
        <v>-0.121</v>
      </c>
      <c r="K87" s="77">
        <v>-0.13300000000000001</v>
      </c>
      <c r="L87" s="77">
        <v>0.16900000000000001</v>
      </c>
      <c r="M87" s="79">
        <v>6.0000000000000001E-3</v>
      </c>
      <c r="N87" s="71"/>
    </row>
    <row r="88" spans="1:14">
      <c r="A88" s="74"/>
      <c r="B88" s="134"/>
      <c r="C88" s="135" t="s">
        <v>262</v>
      </c>
      <c r="D88" s="77">
        <v>-0.16700000000000001</v>
      </c>
      <c r="E88" s="77">
        <v>9.5000000000000001E-2</v>
      </c>
      <c r="F88" s="77">
        <v>0.11700000000000001</v>
      </c>
      <c r="G88" s="77">
        <v>0.28100000000000003</v>
      </c>
      <c r="H88" s="77">
        <v>0.29799999999999999</v>
      </c>
      <c r="I88" s="77">
        <v>0.109</v>
      </c>
      <c r="J88" s="77">
        <v>0.56799999999999995</v>
      </c>
      <c r="K88" s="77">
        <v>-0.161</v>
      </c>
      <c r="L88" s="77">
        <v>0.35299999999999998</v>
      </c>
      <c r="M88" s="79">
        <v>-0.307</v>
      </c>
      <c r="N88" s="71"/>
    </row>
    <row r="89" spans="1:14">
      <c r="A89" s="74"/>
      <c r="B89" s="134"/>
      <c r="C89" s="135" t="s">
        <v>263</v>
      </c>
      <c r="D89" s="77">
        <v>0.29899999999999999</v>
      </c>
      <c r="E89" s="77">
        <v>0.187</v>
      </c>
      <c r="F89" s="77">
        <v>-0.223</v>
      </c>
      <c r="G89" s="77">
        <v>-0.14399999999999999</v>
      </c>
      <c r="H89" s="77">
        <v>2.4E-2</v>
      </c>
      <c r="I89" s="77">
        <v>4.5999999999999999E-2</v>
      </c>
      <c r="J89" s="77">
        <v>0.191</v>
      </c>
      <c r="K89" s="77">
        <v>-2.1000000000000001E-2</v>
      </c>
      <c r="L89" s="77">
        <v>-0.374</v>
      </c>
      <c r="M89" s="79">
        <v>-6.6000000000000003E-2</v>
      </c>
      <c r="N89" s="71"/>
    </row>
    <row r="90" spans="1:14">
      <c r="A90" s="74"/>
      <c r="B90" s="134"/>
      <c r="C90" s="135" t="s">
        <v>264</v>
      </c>
      <c r="D90" s="77">
        <v>0.28399999999999997</v>
      </c>
      <c r="E90" s="77">
        <v>0.17599999999999999</v>
      </c>
      <c r="F90" s="77">
        <v>-0.23699999999999999</v>
      </c>
      <c r="G90" s="77">
        <v>0.17199999999999999</v>
      </c>
      <c r="H90" s="77">
        <v>9.8000000000000004E-2</v>
      </c>
      <c r="I90" s="77">
        <v>-1.9E-2</v>
      </c>
      <c r="J90" s="77">
        <v>0.16700000000000001</v>
      </c>
      <c r="K90" s="77">
        <v>-0.14599999999999999</v>
      </c>
      <c r="L90" s="77">
        <v>-0.106</v>
      </c>
      <c r="M90" s="79">
        <v>-0.27100000000000002</v>
      </c>
      <c r="N90" s="71"/>
    </row>
    <row r="91" spans="1:14">
      <c r="A91" s="74"/>
      <c r="B91" s="134"/>
      <c r="C91" s="135" t="s">
        <v>265</v>
      </c>
      <c r="D91" s="77">
        <v>7.4999999999999997E-2</v>
      </c>
      <c r="E91" s="77">
        <v>0.13100000000000001</v>
      </c>
      <c r="F91" s="77">
        <v>-0.17899999999999999</v>
      </c>
      <c r="G91" s="77">
        <v>-4.4999999999999998E-2</v>
      </c>
      <c r="H91" s="77">
        <v>0.23499999999999999</v>
      </c>
      <c r="I91" s="77">
        <v>9.9000000000000005E-2</v>
      </c>
      <c r="J91" s="77">
        <v>-2.8000000000000001E-2</v>
      </c>
      <c r="K91" s="77">
        <v>-0.21299999999999999</v>
      </c>
      <c r="L91" s="77">
        <v>-0.11</v>
      </c>
      <c r="M91" s="79">
        <v>0.13</v>
      </c>
      <c r="N91" s="71"/>
    </row>
    <row r="92" spans="1:14">
      <c r="A92" s="74"/>
      <c r="B92" s="134"/>
      <c r="C92" s="135" t="s">
        <v>266</v>
      </c>
      <c r="D92" s="77">
        <v>-0.20599999999999999</v>
      </c>
      <c r="E92" s="77">
        <v>-0.23599999999999999</v>
      </c>
      <c r="F92" s="77">
        <v>-1.0999999999999999E-2</v>
      </c>
      <c r="G92" s="77">
        <v>0.53100000000000003</v>
      </c>
      <c r="H92" s="77">
        <v>0.42299999999999999</v>
      </c>
      <c r="I92" s="77">
        <v>0.45200000000000001</v>
      </c>
      <c r="J92" s="77">
        <v>0.24299999999999999</v>
      </c>
      <c r="K92" s="77">
        <v>-0.151</v>
      </c>
      <c r="L92" s="77">
        <v>-0.10100000000000001</v>
      </c>
      <c r="M92" s="79">
        <v>-8.1000000000000003E-2</v>
      </c>
      <c r="N92" s="71"/>
    </row>
    <row r="93" spans="1:14">
      <c r="A93" s="74"/>
      <c r="B93" s="134"/>
      <c r="C93" s="135" t="s">
        <v>267</v>
      </c>
      <c r="D93" s="77">
        <v>-6.0000000000000001E-3</v>
      </c>
      <c r="E93" s="77">
        <v>0.314</v>
      </c>
      <c r="F93" s="77">
        <v>0.312</v>
      </c>
      <c r="G93" s="77">
        <v>2.4E-2</v>
      </c>
      <c r="H93" s="77">
        <v>0.17199999999999999</v>
      </c>
      <c r="I93" s="77">
        <v>0.09</v>
      </c>
      <c r="J93" s="77">
        <v>-5.0999999999999997E-2</v>
      </c>
      <c r="K93" s="77">
        <v>0.40600000000000003</v>
      </c>
      <c r="L93" s="77">
        <v>5.2999999999999999E-2</v>
      </c>
      <c r="M93" s="79">
        <v>-0.14799999999999999</v>
      </c>
      <c r="N93" s="71"/>
    </row>
    <row r="94" spans="1:14">
      <c r="A94" s="74"/>
      <c r="B94" s="134"/>
      <c r="C94" s="135" t="s">
        <v>268</v>
      </c>
      <c r="D94" s="77">
        <v>0.63400000000000001</v>
      </c>
      <c r="E94" s="77">
        <v>0.19600000000000001</v>
      </c>
      <c r="F94" s="77">
        <v>7.5999999999999998E-2</v>
      </c>
      <c r="G94" s="77">
        <v>-0.01</v>
      </c>
      <c r="H94" s="77">
        <v>-9.0999999999999998E-2</v>
      </c>
      <c r="I94" s="77">
        <v>0.40799999999999997</v>
      </c>
      <c r="J94" s="77">
        <v>0.11</v>
      </c>
      <c r="K94" s="77">
        <v>0.09</v>
      </c>
      <c r="L94" s="77">
        <v>1.4E-2</v>
      </c>
      <c r="M94" s="79">
        <v>0.09</v>
      </c>
      <c r="N94" s="71"/>
    </row>
    <row r="95" spans="1:14">
      <c r="A95" s="74"/>
      <c r="B95" s="134"/>
      <c r="C95" s="135" t="s">
        <v>269</v>
      </c>
      <c r="D95" s="77">
        <v>-1.4999999999999999E-2</v>
      </c>
      <c r="E95" s="77">
        <v>0.26200000000000001</v>
      </c>
      <c r="F95" s="77">
        <v>-6.6000000000000003E-2</v>
      </c>
      <c r="G95" s="77">
        <v>0.214</v>
      </c>
      <c r="H95" s="77">
        <v>-0.06</v>
      </c>
      <c r="I95" s="77">
        <v>0.28399999999999997</v>
      </c>
      <c r="J95" s="77">
        <v>6.3E-2</v>
      </c>
      <c r="K95" s="77">
        <v>-1.0999999999999999E-2</v>
      </c>
      <c r="L95" s="77">
        <v>2.8000000000000001E-2</v>
      </c>
      <c r="M95" s="79">
        <v>-7.8E-2</v>
      </c>
      <c r="N95" s="71"/>
    </row>
    <row r="96" spans="1:14">
      <c r="A96" s="74"/>
      <c r="B96" s="134"/>
      <c r="C96" s="135" t="s">
        <v>270</v>
      </c>
      <c r="D96" s="77">
        <v>0.72899999999999998</v>
      </c>
      <c r="E96" s="77">
        <v>5.7000000000000002E-2</v>
      </c>
      <c r="F96" s="77">
        <v>0.36599999999999999</v>
      </c>
      <c r="G96" s="77">
        <v>0.249</v>
      </c>
      <c r="H96" s="77">
        <v>0.28499999999999998</v>
      </c>
      <c r="I96" s="77">
        <v>0.16200000000000001</v>
      </c>
      <c r="J96" s="77">
        <v>-0.28799999999999998</v>
      </c>
      <c r="K96" s="77">
        <v>4.9000000000000002E-2</v>
      </c>
      <c r="L96" s="77">
        <v>-0.17599999999999999</v>
      </c>
      <c r="M96" s="79">
        <v>-0.17699999999999999</v>
      </c>
      <c r="N96" s="71"/>
    </row>
    <row r="97" spans="1:14">
      <c r="A97" s="74"/>
      <c r="B97" s="134"/>
      <c r="C97" s="135" t="s">
        <v>271</v>
      </c>
      <c r="D97" s="77">
        <v>-9.1999999999999998E-2</v>
      </c>
      <c r="E97" s="77">
        <v>0.16400000000000001</v>
      </c>
      <c r="F97" s="77">
        <v>-0.13600000000000001</v>
      </c>
      <c r="G97" s="77">
        <v>9.9000000000000005E-2</v>
      </c>
      <c r="H97" s="77">
        <v>9.7000000000000003E-2</v>
      </c>
      <c r="I97" s="77">
        <v>-0.223</v>
      </c>
      <c r="J97" s="77">
        <v>-8.1000000000000003E-2</v>
      </c>
      <c r="K97" s="77">
        <v>9.5000000000000001E-2</v>
      </c>
      <c r="L97" s="77">
        <v>0.19</v>
      </c>
      <c r="M97" s="79">
        <v>0.123</v>
      </c>
      <c r="N97" s="71"/>
    </row>
    <row r="98" spans="1:14">
      <c r="A98" s="74"/>
      <c r="B98" s="134"/>
      <c r="C98" s="135" t="s">
        <v>272</v>
      </c>
      <c r="D98" s="77">
        <v>5.7000000000000002E-2</v>
      </c>
      <c r="E98" s="77">
        <v>0.04</v>
      </c>
      <c r="F98" s="77">
        <v>-0.125</v>
      </c>
      <c r="G98" s="77">
        <v>6.5000000000000002E-2</v>
      </c>
      <c r="H98" s="77">
        <v>0.12</v>
      </c>
      <c r="I98" s="77">
        <v>0.02</v>
      </c>
      <c r="J98" s="77">
        <v>7.6999999999999999E-2</v>
      </c>
      <c r="K98" s="77">
        <v>3.2000000000000001E-2</v>
      </c>
      <c r="L98" s="77">
        <v>-0.129</v>
      </c>
      <c r="M98" s="79">
        <v>0.253</v>
      </c>
      <c r="N98" s="71"/>
    </row>
    <row r="99" spans="1:14">
      <c r="A99" s="74"/>
      <c r="B99" s="134"/>
      <c r="C99" s="135" t="s">
        <v>273</v>
      </c>
      <c r="D99" s="77">
        <v>0.34</v>
      </c>
      <c r="E99" s="77">
        <v>-0.11799999999999999</v>
      </c>
      <c r="F99" s="77">
        <v>0.27200000000000002</v>
      </c>
      <c r="G99" s="77">
        <v>2.5999999999999999E-2</v>
      </c>
      <c r="H99" s="77">
        <v>-7.3999999999999996E-2</v>
      </c>
      <c r="I99" s="77">
        <v>0.113</v>
      </c>
      <c r="J99" s="77">
        <v>0.16200000000000001</v>
      </c>
      <c r="K99" s="77">
        <v>5.8000000000000003E-2</v>
      </c>
      <c r="L99" s="77">
        <v>-2.5000000000000001E-2</v>
      </c>
      <c r="M99" s="79">
        <v>-9.2999999999999999E-2</v>
      </c>
      <c r="N99" s="71"/>
    </row>
    <row r="100" spans="1:14">
      <c r="A100" s="74"/>
      <c r="B100" s="134"/>
      <c r="C100" s="135" t="s">
        <v>274</v>
      </c>
      <c r="D100" s="77">
        <v>-0.17</v>
      </c>
      <c r="E100" s="77">
        <v>0.112</v>
      </c>
      <c r="F100" s="77">
        <v>0.41499999999999998</v>
      </c>
      <c r="G100" s="77">
        <v>0.223</v>
      </c>
      <c r="H100" s="77">
        <v>-0.22500000000000001</v>
      </c>
      <c r="I100" s="77">
        <v>3.6999999999999998E-2</v>
      </c>
      <c r="J100" s="77">
        <v>0.246</v>
      </c>
      <c r="K100" s="77">
        <v>9.9000000000000005E-2</v>
      </c>
      <c r="L100" s="77">
        <v>5.0999999999999997E-2</v>
      </c>
      <c r="M100" s="79">
        <v>-5.5E-2</v>
      </c>
      <c r="N100" s="71"/>
    </row>
    <row r="101" spans="1:14">
      <c r="A101" s="74"/>
      <c r="B101" s="134"/>
      <c r="C101" s="135" t="s">
        <v>275</v>
      </c>
      <c r="D101" s="77">
        <v>0.57099999999999995</v>
      </c>
      <c r="E101" s="77">
        <v>-0.122</v>
      </c>
      <c r="F101" s="77">
        <v>4.2999999999999997E-2</v>
      </c>
      <c r="G101" s="77">
        <v>-8.1000000000000003E-2</v>
      </c>
      <c r="H101" s="77">
        <v>-0.155</v>
      </c>
      <c r="I101" s="77">
        <v>-2.1000000000000001E-2</v>
      </c>
      <c r="J101" s="77">
        <v>0.214</v>
      </c>
      <c r="K101" s="77">
        <v>-0.32600000000000001</v>
      </c>
      <c r="L101" s="77">
        <v>4.3999999999999997E-2</v>
      </c>
      <c r="M101" s="79">
        <v>-0.111</v>
      </c>
      <c r="N101" s="71"/>
    </row>
    <row r="102" spans="1:14">
      <c r="A102" s="74"/>
      <c r="B102" s="134"/>
      <c r="C102" s="135" t="s">
        <v>276</v>
      </c>
      <c r="D102" s="77">
        <v>5.3999999999999999E-2</v>
      </c>
      <c r="E102" s="77">
        <v>0.12</v>
      </c>
      <c r="F102" s="77">
        <v>-9.0999999999999998E-2</v>
      </c>
      <c r="G102" s="77">
        <v>7.0999999999999994E-2</v>
      </c>
      <c r="H102" s="77">
        <v>0.1</v>
      </c>
      <c r="I102" s="77">
        <v>0.32300000000000001</v>
      </c>
      <c r="J102" s="77">
        <v>-2.1999999999999999E-2</v>
      </c>
      <c r="K102" s="77">
        <v>1.6E-2</v>
      </c>
      <c r="L102" s="77">
        <v>0.20200000000000001</v>
      </c>
      <c r="M102" s="79">
        <v>0.17</v>
      </c>
      <c r="N102" s="71"/>
    </row>
    <row r="103" spans="1:14">
      <c r="A103" s="74"/>
      <c r="B103" s="134"/>
      <c r="C103" s="135" t="s">
        <v>277</v>
      </c>
      <c r="D103" s="77">
        <v>-0.27400000000000002</v>
      </c>
      <c r="E103" s="77">
        <v>-0.16200000000000001</v>
      </c>
      <c r="F103" s="77">
        <v>0.186</v>
      </c>
      <c r="G103" s="77">
        <v>0.30299999999999999</v>
      </c>
      <c r="H103" s="77">
        <v>0.505</v>
      </c>
      <c r="I103" s="77">
        <v>-0.04</v>
      </c>
      <c r="J103" s="77">
        <v>-4.5999999999999999E-2</v>
      </c>
      <c r="K103" s="77">
        <v>-0.13700000000000001</v>
      </c>
      <c r="L103" s="77">
        <v>0.153</v>
      </c>
      <c r="M103" s="79">
        <v>0.14499999999999999</v>
      </c>
      <c r="N103" s="71"/>
    </row>
    <row r="104" spans="1:14">
      <c r="A104" s="74"/>
      <c r="B104" s="134"/>
      <c r="C104" s="135" t="s">
        <v>278</v>
      </c>
      <c r="D104" s="77">
        <v>5.7000000000000002E-2</v>
      </c>
      <c r="E104" s="77">
        <v>5.0000000000000001E-3</v>
      </c>
      <c r="F104" s="77">
        <v>0.247</v>
      </c>
      <c r="G104" s="77">
        <v>-6.3E-2</v>
      </c>
      <c r="H104" s="77">
        <v>0.22700000000000001</v>
      </c>
      <c r="I104" s="77">
        <v>0.30499999999999999</v>
      </c>
      <c r="J104" s="77">
        <v>-0.115</v>
      </c>
      <c r="K104" s="77">
        <v>5.8999999999999997E-2</v>
      </c>
      <c r="L104" s="77">
        <v>0.23699999999999999</v>
      </c>
      <c r="M104" s="79">
        <v>0.48499999999999999</v>
      </c>
      <c r="N104" s="71"/>
    </row>
    <row r="105" spans="1:14">
      <c r="A105" s="74"/>
      <c r="B105" s="134"/>
      <c r="C105" s="135" t="s">
        <v>279</v>
      </c>
      <c r="D105" s="77">
        <v>0.01</v>
      </c>
      <c r="E105" s="77">
        <v>4.4999999999999998E-2</v>
      </c>
      <c r="F105" s="77">
        <v>7.0000000000000007E-2</v>
      </c>
      <c r="G105" s="77">
        <v>0.157</v>
      </c>
      <c r="H105" s="77">
        <v>-9.5000000000000001E-2</v>
      </c>
      <c r="I105" s="77">
        <v>0.33500000000000002</v>
      </c>
      <c r="J105" s="77">
        <v>0.109</v>
      </c>
      <c r="K105" s="77">
        <v>-4.1000000000000002E-2</v>
      </c>
      <c r="L105" s="77">
        <v>-5.8000000000000003E-2</v>
      </c>
      <c r="M105" s="79">
        <v>4.4999999999999998E-2</v>
      </c>
      <c r="N105" s="71"/>
    </row>
    <row r="106" spans="1:14">
      <c r="A106" s="74"/>
      <c r="B106" s="134"/>
      <c r="C106" s="135" t="s">
        <v>280</v>
      </c>
      <c r="D106" s="77">
        <v>-0.13900000000000001</v>
      </c>
      <c r="E106" s="77">
        <v>0.25600000000000001</v>
      </c>
      <c r="F106" s="77">
        <v>0.154</v>
      </c>
      <c r="G106" s="77">
        <v>0.128</v>
      </c>
      <c r="H106" s="77">
        <v>0.23</v>
      </c>
      <c r="I106" s="77">
        <v>0.25900000000000001</v>
      </c>
      <c r="J106" s="77">
        <v>0</v>
      </c>
      <c r="K106" s="77">
        <v>0.17</v>
      </c>
      <c r="L106" s="77">
        <v>2.3E-2</v>
      </c>
      <c r="M106" s="79">
        <v>-0.104</v>
      </c>
      <c r="N106" s="71"/>
    </row>
    <row r="107" spans="1:14">
      <c r="A107" s="74"/>
      <c r="B107" s="134"/>
      <c r="C107" s="135" t="s">
        <v>281</v>
      </c>
      <c r="D107" s="77">
        <v>-0.189</v>
      </c>
      <c r="E107" s="77">
        <v>0.371</v>
      </c>
      <c r="F107" s="77">
        <v>-4.5999999999999999E-2</v>
      </c>
      <c r="G107" s="77">
        <v>0.127</v>
      </c>
      <c r="H107" s="77">
        <v>0.27700000000000002</v>
      </c>
      <c r="I107" s="77">
        <v>-1E-3</v>
      </c>
      <c r="J107" s="77">
        <v>0.13700000000000001</v>
      </c>
      <c r="K107" s="77">
        <v>9.9000000000000005E-2</v>
      </c>
      <c r="L107" s="77">
        <v>0.16800000000000001</v>
      </c>
      <c r="M107" s="79">
        <v>-0.128</v>
      </c>
      <c r="N107" s="71"/>
    </row>
    <row r="108" spans="1:14">
      <c r="A108" s="74"/>
      <c r="B108" s="134"/>
      <c r="C108" s="135" t="s">
        <v>282</v>
      </c>
      <c r="D108" s="80">
        <v>0.216</v>
      </c>
      <c r="E108" s="80">
        <v>0.20799999999999999</v>
      </c>
      <c r="F108" s="80">
        <v>-0.123</v>
      </c>
      <c r="G108" s="80">
        <v>-0.16400000000000001</v>
      </c>
      <c r="H108" s="80">
        <v>-0.1</v>
      </c>
      <c r="I108" s="80">
        <v>0.186</v>
      </c>
      <c r="J108" s="80">
        <v>0.15</v>
      </c>
      <c r="K108" s="80">
        <v>5.2999999999999999E-2</v>
      </c>
      <c r="L108" s="80">
        <v>-0.30199999999999999</v>
      </c>
      <c r="M108" s="78">
        <v>-0.215</v>
      </c>
      <c r="N108" s="71"/>
    </row>
    <row r="109" spans="1:14">
      <c r="A109" s="74"/>
      <c r="B109" s="69"/>
      <c r="C109" s="69"/>
      <c r="D109" s="69"/>
      <c r="E109" s="69"/>
      <c r="F109" s="69"/>
      <c r="G109" s="69"/>
      <c r="H109" s="69"/>
      <c r="I109" s="69"/>
      <c r="J109" s="69"/>
      <c r="K109" s="69"/>
      <c r="L109" s="69"/>
      <c r="M109" s="69"/>
      <c r="N109" s="7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dimension ref="A1:I21"/>
  <sheetViews>
    <sheetView showGridLines="0" workbookViewId="0"/>
  </sheetViews>
  <sheetFormatPr defaultRowHeight="15"/>
  <cols>
    <col min="3" max="3" width="24.42578125" customWidth="1"/>
    <col min="4" max="4" width="10.140625" bestFit="1" customWidth="1"/>
    <col min="6" max="6" width="2.28515625" customWidth="1"/>
  </cols>
  <sheetData>
    <row r="1" spans="1:9">
      <c r="B1" s="73"/>
      <c r="C1" s="73"/>
      <c r="D1" s="73"/>
      <c r="E1" s="73"/>
      <c r="F1" s="73"/>
      <c r="G1" s="73"/>
      <c r="H1" s="73"/>
      <c r="I1" s="73"/>
    </row>
    <row r="2" spans="1:9">
      <c r="A2" s="74"/>
      <c r="B2" s="68"/>
      <c r="C2" s="68"/>
      <c r="D2" s="68"/>
      <c r="E2" s="68"/>
      <c r="F2" s="68"/>
      <c r="G2" s="68"/>
      <c r="H2" s="68"/>
      <c r="I2" s="71"/>
    </row>
    <row r="3" spans="1:9" ht="20.25" thickBot="1">
      <c r="A3" s="74"/>
      <c r="B3" s="68"/>
      <c r="C3" s="76" t="s">
        <v>125</v>
      </c>
      <c r="D3" s="76"/>
      <c r="E3" s="76"/>
      <c r="F3" s="76"/>
      <c r="G3" s="76"/>
      <c r="H3" s="76"/>
      <c r="I3" s="71"/>
    </row>
    <row r="4" spans="1:9" ht="15.75" thickTop="1">
      <c r="A4" s="74"/>
      <c r="B4" s="68"/>
      <c r="C4" s="68"/>
      <c r="D4" s="69"/>
      <c r="E4" s="68"/>
      <c r="F4" s="68"/>
      <c r="G4" s="68"/>
      <c r="H4" s="68"/>
      <c r="I4" s="71"/>
    </row>
    <row r="5" spans="1:9">
      <c r="A5" s="74"/>
      <c r="B5" s="68"/>
      <c r="C5" s="122" t="s">
        <v>129</v>
      </c>
      <c r="D5" s="81">
        <v>10000</v>
      </c>
      <c r="E5" s="68"/>
      <c r="F5" s="68"/>
      <c r="G5" s="147" t="s">
        <v>336</v>
      </c>
      <c r="H5" s="147"/>
      <c r="I5" s="71"/>
    </row>
    <row r="6" spans="1:9">
      <c r="A6" s="74"/>
      <c r="B6" s="68"/>
      <c r="C6" s="118"/>
      <c r="D6" s="68"/>
      <c r="E6" s="68"/>
      <c r="F6" s="68"/>
      <c r="G6" s="147"/>
      <c r="H6" s="147"/>
      <c r="I6" s="71"/>
    </row>
    <row r="7" spans="1:9" ht="30">
      <c r="A7" s="74"/>
      <c r="B7" s="68"/>
      <c r="C7" s="119" t="s">
        <v>126</v>
      </c>
      <c r="D7" s="86">
        <v>10</v>
      </c>
      <c r="E7" s="68"/>
      <c r="F7" s="68"/>
      <c r="G7" s="147" t="s">
        <v>337</v>
      </c>
      <c r="H7" s="147"/>
      <c r="I7" s="71"/>
    </row>
    <row r="8" spans="1:9">
      <c r="A8" s="74"/>
      <c r="B8" s="68"/>
      <c r="C8" s="118"/>
      <c r="D8" s="68"/>
      <c r="E8" s="68"/>
      <c r="F8" s="68"/>
      <c r="G8" s="147"/>
      <c r="H8" s="147"/>
      <c r="I8" s="71"/>
    </row>
    <row r="9" spans="1:9">
      <c r="A9" s="74"/>
      <c r="B9" s="68"/>
      <c r="C9" s="119" t="s">
        <v>127</v>
      </c>
      <c r="D9" s="86">
        <v>100</v>
      </c>
      <c r="E9" s="68"/>
      <c r="F9" s="68"/>
      <c r="G9" s="147" t="s">
        <v>338</v>
      </c>
      <c r="H9" s="147"/>
      <c r="I9" s="71"/>
    </row>
    <row r="10" spans="1:9">
      <c r="A10" s="74"/>
      <c r="B10" s="68"/>
      <c r="C10" s="118"/>
      <c r="D10" s="68"/>
      <c r="E10" s="68"/>
      <c r="F10" s="68"/>
      <c r="G10" s="147"/>
      <c r="H10" s="147"/>
      <c r="I10" s="71"/>
    </row>
    <row r="11" spans="1:9">
      <c r="A11" s="74"/>
      <c r="B11" s="68"/>
      <c r="C11" s="118"/>
      <c r="D11" s="68"/>
      <c r="E11" s="68"/>
      <c r="F11" s="68"/>
      <c r="G11" s="147"/>
      <c r="H11" s="147"/>
      <c r="I11" s="71"/>
    </row>
    <row r="12" spans="1:9">
      <c r="A12" s="74"/>
      <c r="B12" s="68"/>
      <c r="C12" s="118"/>
      <c r="D12" s="68" t="s">
        <v>10</v>
      </c>
      <c r="E12" s="68" t="s">
        <v>9</v>
      </c>
      <c r="F12" s="68"/>
      <c r="G12" s="147"/>
      <c r="H12" s="147"/>
      <c r="I12" s="71"/>
    </row>
    <row r="13" spans="1:9" ht="30">
      <c r="A13" s="74"/>
      <c r="B13" s="68"/>
      <c r="C13" s="119" t="s">
        <v>128</v>
      </c>
      <c r="D13" s="120">
        <v>-0.1</v>
      </c>
      <c r="E13" s="120">
        <v>-0.05</v>
      </c>
      <c r="F13" s="68"/>
      <c r="G13" s="148" t="s">
        <v>339</v>
      </c>
      <c r="H13" s="149"/>
      <c r="I13" s="71"/>
    </row>
    <row r="14" spans="1:9">
      <c r="A14" s="74"/>
      <c r="B14" s="68"/>
      <c r="C14" s="118"/>
      <c r="D14" s="121">
        <f t="shared" ref="D14:D19" si="0">E13</f>
        <v>-0.05</v>
      </c>
      <c r="E14" s="120">
        <v>0</v>
      </c>
      <c r="F14" s="68"/>
      <c r="G14" s="150"/>
      <c r="H14" s="151"/>
      <c r="I14" s="71"/>
    </row>
    <row r="15" spans="1:9">
      <c r="A15" s="74"/>
      <c r="B15" s="68"/>
      <c r="C15" s="118"/>
      <c r="D15" s="121">
        <f t="shared" si="0"/>
        <v>0</v>
      </c>
      <c r="E15" s="120">
        <v>0.05</v>
      </c>
      <c r="F15" s="68"/>
      <c r="G15" s="150"/>
      <c r="H15" s="151"/>
      <c r="I15" s="71"/>
    </row>
    <row r="16" spans="1:9">
      <c r="A16" s="74"/>
      <c r="B16" s="68"/>
      <c r="C16" s="118"/>
      <c r="D16" s="121">
        <f t="shared" si="0"/>
        <v>0.05</v>
      </c>
      <c r="E16" s="120">
        <v>0.1</v>
      </c>
      <c r="F16" s="68"/>
      <c r="G16" s="150"/>
      <c r="H16" s="151"/>
      <c r="I16" s="71"/>
    </row>
    <row r="17" spans="1:9">
      <c r="A17" s="74"/>
      <c r="B17" s="68"/>
      <c r="C17" s="118"/>
      <c r="D17" s="121">
        <f t="shared" si="0"/>
        <v>0.1</v>
      </c>
      <c r="E17" s="120">
        <v>0.15</v>
      </c>
      <c r="F17" s="68"/>
      <c r="G17" s="150"/>
      <c r="H17" s="151"/>
      <c r="I17" s="71"/>
    </row>
    <row r="18" spans="1:9">
      <c r="A18" s="74"/>
      <c r="B18" s="68"/>
      <c r="C18" s="118"/>
      <c r="D18" s="121">
        <f t="shared" si="0"/>
        <v>0.15</v>
      </c>
      <c r="E18" s="120">
        <v>0.2</v>
      </c>
      <c r="F18" s="68"/>
      <c r="G18" s="150"/>
      <c r="H18" s="151"/>
      <c r="I18" s="71"/>
    </row>
    <row r="19" spans="1:9">
      <c r="A19" s="74"/>
      <c r="B19" s="68"/>
      <c r="C19" s="118"/>
      <c r="D19" s="121">
        <f t="shared" si="0"/>
        <v>0.2</v>
      </c>
      <c r="E19" s="120">
        <v>0.25</v>
      </c>
      <c r="F19" s="68"/>
      <c r="G19" s="152"/>
      <c r="H19" s="153"/>
      <c r="I19" s="71"/>
    </row>
    <row r="20" spans="1:9">
      <c r="A20" s="74"/>
      <c r="B20" s="68"/>
      <c r="C20" s="118"/>
      <c r="D20" s="68"/>
      <c r="E20" s="68"/>
      <c r="F20" s="68"/>
      <c r="G20" s="68"/>
      <c r="H20" s="68"/>
      <c r="I20" s="71"/>
    </row>
    <row r="21" spans="1:9">
      <c r="A21" s="74"/>
      <c r="B21" s="69"/>
      <c r="C21" s="69"/>
      <c r="D21" s="69"/>
      <c r="E21" s="69"/>
      <c r="F21" s="69"/>
      <c r="G21" s="69"/>
      <c r="H21" s="69"/>
      <c r="I21" s="7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P107"/>
  <sheetViews>
    <sheetView showGridLines="0" workbookViewId="0">
      <selection activeCell="E7" sqref="E7"/>
    </sheetView>
  </sheetViews>
  <sheetFormatPr defaultRowHeight="15"/>
  <cols>
    <col min="3" max="3" width="17.85546875" bestFit="1" customWidth="1"/>
    <col min="4" max="4" width="16.140625" customWidth="1"/>
    <col min="5" max="14" width="10.5703125" bestFit="1" customWidth="1"/>
    <col min="15" max="16" width="10.28515625" customWidth="1"/>
  </cols>
  <sheetData>
    <row r="1" spans="1:16">
      <c r="B1" s="73"/>
      <c r="C1" s="73"/>
      <c r="D1" s="73"/>
      <c r="E1" s="73"/>
      <c r="F1" s="73"/>
      <c r="G1" s="73"/>
      <c r="H1" s="73"/>
      <c r="I1" s="73"/>
      <c r="J1" s="73"/>
      <c r="K1" s="73"/>
      <c r="L1" s="73"/>
      <c r="M1" s="73"/>
      <c r="N1" s="73"/>
      <c r="O1" s="73"/>
    </row>
    <row r="2" spans="1:16">
      <c r="A2" s="74"/>
      <c r="B2" s="68"/>
      <c r="C2" s="68"/>
      <c r="D2" s="68"/>
      <c r="E2" s="68"/>
      <c r="F2" s="68"/>
      <c r="G2" s="68"/>
      <c r="H2" s="68"/>
      <c r="I2" s="68"/>
      <c r="J2" s="68"/>
      <c r="K2" s="68"/>
      <c r="L2" s="68"/>
      <c r="M2" s="68"/>
      <c r="N2" s="68"/>
      <c r="O2" s="71"/>
      <c r="P2" s="94"/>
    </row>
    <row r="3" spans="1:16" ht="18" thickBot="1">
      <c r="A3" s="74"/>
      <c r="B3" s="68"/>
      <c r="C3" s="75" t="s">
        <v>60</v>
      </c>
      <c r="D3" s="75"/>
      <c r="E3" s="75"/>
      <c r="F3" s="75"/>
      <c r="G3" s="75"/>
      <c r="H3" s="75"/>
      <c r="I3" s="75"/>
      <c r="J3" s="75"/>
      <c r="K3" s="75"/>
      <c r="L3" s="75"/>
      <c r="M3" s="75"/>
      <c r="N3" s="75"/>
      <c r="O3" s="71"/>
      <c r="P3" s="94"/>
    </row>
    <row r="4" spans="1:16" ht="15.75" thickTop="1">
      <c r="A4" s="74"/>
      <c r="B4" s="68"/>
      <c r="C4" s="68"/>
      <c r="D4" s="68"/>
      <c r="E4" s="68"/>
      <c r="F4" s="68"/>
      <c r="G4" s="68"/>
      <c r="H4" s="68"/>
      <c r="I4" s="68"/>
      <c r="J4" s="68"/>
      <c r="K4" s="68"/>
      <c r="L4" s="68"/>
      <c r="M4" s="68"/>
      <c r="N4" s="68"/>
      <c r="O4" s="71"/>
      <c r="P4" s="94"/>
    </row>
    <row r="5" spans="1:16">
      <c r="A5" s="74"/>
      <c r="B5" s="68"/>
      <c r="C5" s="89"/>
      <c r="D5" s="89" t="s">
        <v>0</v>
      </c>
      <c r="E5" s="89"/>
      <c r="F5" s="89"/>
      <c r="G5" s="89"/>
      <c r="H5" s="89"/>
      <c r="I5" s="89"/>
      <c r="J5" s="89"/>
      <c r="K5" s="89"/>
      <c r="L5" s="89"/>
      <c r="M5" s="89"/>
      <c r="N5" s="89"/>
      <c r="O5" s="71"/>
      <c r="P5" s="94"/>
    </row>
    <row r="6" spans="1:16">
      <c r="A6" s="74"/>
      <c r="B6" s="68"/>
      <c r="C6" s="89" t="s">
        <v>1</v>
      </c>
      <c r="D6" s="89">
        <v>0</v>
      </c>
      <c r="E6" s="89">
        <v>1</v>
      </c>
      <c r="F6" s="89">
        <v>2</v>
      </c>
      <c r="G6" s="89">
        <v>3</v>
      </c>
      <c r="H6" s="89">
        <v>4</v>
      </c>
      <c r="I6" s="89">
        <v>5</v>
      </c>
      <c r="J6" s="89">
        <v>6</v>
      </c>
      <c r="K6" s="89">
        <v>7</v>
      </c>
      <c r="L6" s="89">
        <v>8</v>
      </c>
      <c r="M6" s="89">
        <v>9</v>
      </c>
      <c r="N6" s="89">
        <v>10</v>
      </c>
      <c r="O6" s="71"/>
      <c r="P6" s="94"/>
    </row>
    <row r="7" spans="1:16">
      <c r="A7" s="74"/>
      <c r="B7" s="68"/>
      <c r="C7" s="89">
        <v>1</v>
      </c>
      <c r="D7" s="83">
        <f t="shared" ref="D7:D38" si="0">StartAssetValue</f>
        <v>10000</v>
      </c>
      <c r="E7" s="83">
        <f>D7*(1+'Raw Data'!D9)</f>
        <v>13820.000000000002</v>
      </c>
      <c r="F7" s="83">
        <f>E7*(1+'Raw Data'!E9)</f>
        <v>10254.44</v>
      </c>
      <c r="G7" s="83">
        <f>F7*(1+'Raw Data'!F9)</f>
        <v>10008.33344</v>
      </c>
      <c r="H7" s="83">
        <f>G7*(1+'Raw Data'!G9)</f>
        <v>13261.041808</v>
      </c>
      <c r="I7" s="83">
        <f>H7*(1+'Raw Data'!H9)</f>
        <v>16854.784137967999</v>
      </c>
      <c r="J7" s="83">
        <f>I7*(1+'Raw Data'!I9)</f>
        <v>17023.33197934768</v>
      </c>
      <c r="K7" s="83">
        <f>J7*(1+'Raw Data'!J9)</f>
        <v>21926.051589399813</v>
      </c>
      <c r="L7" s="83">
        <f>K7*(1+'Raw Data'!K9)</f>
        <v>25653.480359597779</v>
      </c>
      <c r="M7" s="83">
        <f>L7*(1+'Raw Data'!L9)</f>
        <v>26705.273054341287</v>
      </c>
      <c r="N7" s="83">
        <f>M7*(1+'Raw Data'!M9)</f>
        <v>23554.050833929017</v>
      </c>
      <c r="O7" s="93"/>
      <c r="P7" s="95"/>
    </row>
    <row r="8" spans="1:16">
      <c r="A8" s="74"/>
      <c r="B8" s="68"/>
      <c r="C8" s="89">
        <f>C7+1</f>
        <v>2</v>
      </c>
      <c r="D8" s="83">
        <f t="shared" si="0"/>
        <v>10000</v>
      </c>
      <c r="E8" s="83">
        <f>D8*(1+'Raw Data'!D10)</f>
        <v>9370</v>
      </c>
      <c r="F8" s="83">
        <f>E8*(1+'Raw Data'!E10)</f>
        <v>8414.26</v>
      </c>
      <c r="G8" s="83">
        <f>F8*(1+'Raw Data'!F10)</f>
        <v>9011.6724599999998</v>
      </c>
      <c r="H8" s="83">
        <f>G8*(1+'Raw Data'!G10)</f>
        <v>9696.5595669600007</v>
      </c>
      <c r="I8" s="83">
        <f>H8*(1+'Raw Data'!H10)</f>
        <v>9463.84213735296</v>
      </c>
      <c r="J8" s="83">
        <f>I8*(1+'Raw Data'!I10)</f>
        <v>10504.864772461786</v>
      </c>
      <c r="K8" s="83">
        <f>J8*(1+'Raw Data'!J10)</f>
        <v>8435.4064122868131</v>
      </c>
      <c r="L8" s="83">
        <f>K8*(1+'Raw Data'!K10)</f>
        <v>8435.4064122868131</v>
      </c>
      <c r="M8" s="83">
        <f>L8*(1+'Raw Data'!L10)</f>
        <v>7785.8801185407292</v>
      </c>
      <c r="N8" s="83">
        <f>M8*(1+'Raw Data'!M10)</f>
        <v>7256.4402704799595</v>
      </c>
      <c r="O8" s="93"/>
      <c r="P8" s="95"/>
    </row>
    <row r="9" spans="1:16">
      <c r="A9" s="74"/>
      <c r="B9" s="68"/>
      <c r="C9" s="89">
        <f t="shared" ref="C9:C72" si="1">C8+1</f>
        <v>3</v>
      </c>
      <c r="D9" s="83">
        <f t="shared" si="0"/>
        <v>10000</v>
      </c>
      <c r="E9" s="83">
        <f>D9*(1+'Raw Data'!D11)</f>
        <v>9970</v>
      </c>
      <c r="F9" s="83">
        <f>E9*(1+'Raw Data'!E11)</f>
        <v>11854.33</v>
      </c>
      <c r="G9" s="83">
        <f>F9*(1+'Raw Data'!F11)</f>
        <v>15825.530549999999</v>
      </c>
      <c r="H9" s="83">
        <f>G9*(1+'Raw Data'!G11)</f>
        <v>14749.394472599999</v>
      </c>
      <c r="I9" s="83">
        <f>H9*(1+'Raw Data'!H11)</f>
        <v>15324.620857031397</v>
      </c>
      <c r="J9" s="83">
        <f>I9*(1+'Raw Data'!I11)</f>
        <v>16611.889009022037</v>
      </c>
      <c r="K9" s="83">
        <f>J9*(1+'Raw Data'!J11)</f>
        <v>12907.437760010123</v>
      </c>
      <c r="L9" s="83">
        <f>K9*(1+'Raw Data'!K11)</f>
        <v>14520.867480011389</v>
      </c>
      <c r="M9" s="83">
        <f>L9*(1+'Raw Data'!L11)</f>
        <v>16728.039336973121</v>
      </c>
      <c r="N9" s="83">
        <f>M9*(1+'Raw Data'!M11)</f>
        <v>13800.632453002823</v>
      </c>
      <c r="O9" s="93"/>
      <c r="P9" s="95"/>
    </row>
    <row r="10" spans="1:16">
      <c r="A10" s="74"/>
      <c r="B10" s="68"/>
      <c r="C10" s="89">
        <f t="shared" si="1"/>
        <v>4</v>
      </c>
      <c r="D10" s="83">
        <f t="shared" si="0"/>
        <v>10000</v>
      </c>
      <c r="E10" s="83">
        <f>D10*(1+'Raw Data'!D12)</f>
        <v>9880</v>
      </c>
      <c r="F10" s="83">
        <f>E10*(1+'Raw Data'!E12)</f>
        <v>10759.32</v>
      </c>
      <c r="G10" s="83">
        <f>F10*(1+'Raw Data'!F12)</f>
        <v>9758.7032400000007</v>
      </c>
      <c r="H10" s="83">
        <f>G10*(1+'Raw Data'!G12)</f>
        <v>12139.826830560001</v>
      </c>
      <c r="I10" s="83">
        <f>H10*(1+'Raw Data'!H12)</f>
        <v>11727.07271832096</v>
      </c>
      <c r="J10" s="83">
        <f>I10*(1+'Raw Data'!I12)</f>
        <v>15643.915006240162</v>
      </c>
      <c r="K10" s="83">
        <f>J10*(1+'Raw Data'!J12)</f>
        <v>16958.003866764338</v>
      </c>
      <c r="L10" s="83">
        <f>K10*(1+'Raw Data'!K12)</f>
        <v>23402.045336134786</v>
      </c>
      <c r="M10" s="83">
        <f>L10*(1+'Raw Data'!L12)</f>
        <v>26186.888731134826</v>
      </c>
      <c r="N10" s="83">
        <f>M10*(1+'Raw Data'!M12)</f>
        <v>24196.685187568579</v>
      </c>
      <c r="O10" s="93"/>
      <c r="P10" s="95"/>
    </row>
    <row r="11" spans="1:16">
      <c r="A11" s="74"/>
      <c r="B11" s="68"/>
      <c r="C11" s="89">
        <f t="shared" si="1"/>
        <v>5</v>
      </c>
      <c r="D11" s="83">
        <f t="shared" si="0"/>
        <v>10000</v>
      </c>
      <c r="E11" s="83">
        <f>D11*(1+'Raw Data'!D13)</f>
        <v>8570</v>
      </c>
      <c r="F11" s="83">
        <f>E11*(1+'Raw Data'!E13)</f>
        <v>7490.18</v>
      </c>
      <c r="G11" s="83">
        <f>F11*(1+'Raw Data'!F13)</f>
        <v>12246.444300000001</v>
      </c>
      <c r="H11" s="83">
        <f>G11*(1+'Raw Data'!G13)</f>
        <v>13813.989170400002</v>
      </c>
      <c r="I11" s="83">
        <f>H11*(1+'Raw Data'!H13)</f>
        <v>16770.182852865601</v>
      </c>
      <c r="J11" s="83">
        <f>I11*(1+'Raw Data'!I13)</f>
        <v>13801.860487908389</v>
      </c>
      <c r="K11" s="83">
        <f>J11*(1+'Raw Data'!J13)</f>
        <v>14478.151651815899</v>
      </c>
      <c r="L11" s="83">
        <f>K11*(1+'Raw Data'!K13)</f>
        <v>17576.4761053045</v>
      </c>
      <c r="M11" s="83">
        <f>L11*(1+'Raw Data'!L13)</f>
        <v>29546.056333016866</v>
      </c>
      <c r="N11" s="83">
        <f>M11*(1+'Raw Data'!M13)</f>
        <v>28098.299572699038</v>
      </c>
      <c r="O11" s="93"/>
      <c r="P11" s="95"/>
    </row>
    <row r="12" spans="1:16">
      <c r="A12" s="74"/>
      <c r="B12" s="68"/>
      <c r="C12" s="89">
        <f t="shared" si="1"/>
        <v>6</v>
      </c>
      <c r="D12" s="83">
        <f t="shared" si="0"/>
        <v>10000</v>
      </c>
      <c r="E12" s="83">
        <f>D12*(1+'Raw Data'!D14)</f>
        <v>11160.000000000002</v>
      </c>
      <c r="F12" s="83">
        <f>E12*(1+'Raw Data'!E14)</f>
        <v>14987.880000000003</v>
      </c>
      <c r="G12" s="83">
        <f>F12*(1+'Raw Data'!F14)</f>
        <v>13818.825360000003</v>
      </c>
      <c r="H12" s="83">
        <f>G12*(1+'Raw Data'!G14)</f>
        <v>14979.606690240003</v>
      </c>
      <c r="I12" s="83">
        <f>H12*(1+'Raw Data'!H14)</f>
        <v>14230.626355728002</v>
      </c>
      <c r="J12" s="83">
        <f>I12*(1+'Raw Data'!I14)</f>
        <v>18755.965536849508</v>
      </c>
      <c r="K12" s="83">
        <f>J12*(1+'Raw Data'!J14)</f>
        <v>15229.844015921801</v>
      </c>
      <c r="L12" s="83">
        <f>K12*(1+'Raw Data'!K14)</f>
        <v>10874.108627368165</v>
      </c>
      <c r="M12" s="83">
        <f>L12*(1+'Raw Data'!L14)</f>
        <v>10928.479170505005</v>
      </c>
      <c r="N12" s="83">
        <f>M12*(1+'Raw Data'!M14)</f>
        <v>13310.887629675095</v>
      </c>
      <c r="O12" s="93"/>
      <c r="P12" s="95"/>
    </row>
    <row r="13" spans="1:16">
      <c r="A13" s="74"/>
      <c r="B13" s="68"/>
      <c r="C13" s="89">
        <f t="shared" si="1"/>
        <v>7</v>
      </c>
      <c r="D13" s="83">
        <f t="shared" si="0"/>
        <v>10000</v>
      </c>
      <c r="E13" s="83">
        <f>D13*(1+'Raw Data'!D15)</f>
        <v>10770</v>
      </c>
      <c r="F13" s="83">
        <f>E13*(1+'Raw Data'!E15)</f>
        <v>12213.179999999998</v>
      </c>
      <c r="G13" s="83">
        <f>F13*(1+'Raw Data'!F15)</f>
        <v>10772.024759999998</v>
      </c>
      <c r="H13" s="83">
        <f>G13*(1+'Raw Data'!G15)</f>
        <v>7669.6816291199984</v>
      </c>
      <c r="I13" s="83">
        <f>H13*(1+'Raw Data'!H15)</f>
        <v>10377.079244199358</v>
      </c>
      <c r="J13" s="83">
        <f>I13*(1+'Raw Data'!I15)</f>
        <v>9816.7169650125925</v>
      </c>
      <c r="K13" s="83">
        <f>J13*(1+'Raw Data'!J15)</f>
        <v>12172.729036615614</v>
      </c>
      <c r="L13" s="83">
        <f>K13*(1+'Raw Data'!K15)</f>
        <v>10212.9196617205</v>
      </c>
      <c r="M13" s="83">
        <f>L13*(1+'Raw Data'!L15)</f>
        <v>12163.587317109115</v>
      </c>
      <c r="N13" s="83">
        <f>M13*(1+'Raw Data'!M15)</f>
        <v>15313.956432240375</v>
      </c>
      <c r="O13" s="93"/>
      <c r="P13" s="95"/>
    </row>
    <row r="14" spans="1:16">
      <c r="A14" s="74"/>
      <c r="B14" s="68"/>
      <c r="C14" s="89">
        <f t="shared" si="1"/>
        <v>8</v>
      </c>
      <c r="D14" s="83">
        <f t="shared" si="0"/>
        <v>10000</v>
      </c>
      <c r="E14" s="83">
        <f>D14*(1+'Raw Data'!D16)</f>
        <v>6839.9999999999991</v>
      </c>
      <c r="F14" s="83">
        <f>E14*(1+'Raw Data'!E16)</f>
        <v>5697.7199999999993</v>
      </c>
      <c r="G14" s="83">
        <f>F14*(1+'Raw Data'!F16)</f>
        <v>7361.4542399999991</v>
      </c>
      <c r="H14" s="83">
        <f>G14*(1+'Raw Data'!G16)</f>
        <v>5749.2957614399993</v>
      </c>
      <c r="I14" s="83">
        <f>H14*(1+'Raw Data'!H16)</f>
        <v>5369.8422411849588</v>
      </c>
      <c r="J14" s="83">
        <f>I14*(1+'Raw Data'!I16)</f>
        <v>3608.533986076292</v>
      </c>
      <c r="K14" s="83">
        <f>J14*(1+'Raw Data'!J16)</f>
        <v>4651.4003080523398</v>
      </c>
      <c r="L14" s="83">
        <f>K14*(1+'Raw Data'!K16)</f>
        <v>6670.1080417470548</v>
      </c>
      <c r="M14" s="83">
        <f>L14*(1+'Raw Data'!L16)</f>
        <v>6309.9222074927138</v>
      </c>
      <c r="N14" s="83">
        <f>M14*(1+'Raw Data'!M16)</f>
        <v>7407.8486715964455</v>
      </c>
      <c r="O14" s="93"/>
      <c r="P14" s="95"/>
    </row>
    <row r="15" spans="1:16">
      <c r="A15" s="74"/>
      <c r="B15" s="68"/>
      <c r="C15" s="89">
        <f t="shared" si="1"/>
        <v>9</v>
      </c>
      <c r="D15" s="83">
        <f t="shared" si="0"/>
        <v>10000</v>
      </c>
      <c r="E15" s="83">
        <f>D15*(1+'Raw Data'!D17)</f>
        <v>12760</v>
      </c>
      <c r="F15" s="83">
        <f>E15*(1+'Raw Data'!E17)</f>
        <v>11381.92</v>
      </c>
      <c r="G15" s="83">
        <f>F15*(1+'Raw Data'!F17)</f>
        <v>9424.2297600000002</v>
      </c>
      <c r="H15" s="83">
        <f>G15*(1+'Raw Data'!G17)</f>
        <v>8849.3517446400001</v>
      </c>
      <c r="I15" s="83">
        <f>H15*(1+'Raw Data'!H17)</f>
        <v>9044.0374830220808</v>
      </c>
      <c r="J15" s="83">
        <f>I15*(1+'Raw Data'!I17)</f>
        <v>10310.202730645173</v>
      </c>
      <c r="K15" s="83">
        <f>J15*(1+'Raw Data'!J17)</f>
        <v>10155.549689685495</v>
      </c>
      <c r="L15" s="83">
        <f>K15*(1+'Raw Data'!K17)</f>
        <v>8327.5507455421066</v>
      </c>
      <c r="M15" s="83">
        <f>L15*(1+'Raw Data'!L17)</f>
        <v>8394.1711515064435</v>
      </c>
      <c r="N15" s="83">
        <f>M15*(1+'Raw Data'!M17)</f>
        <v>8847.4563936877912</v>
      </c>
      <c r="O15" s="93"/>
      <c r="P15" s="95"/>
    </row>
    <row r="16" spans="1:16">
      <c r="A16" s="74"/>
      <c r="B16" s="68"/>
      <c r="C16" s="89">
        <f t="shared" si="1"/>
        <v>10</v>
      </c>
      <c r="D16" s="83">
        <f t="shared" si="0"/>
        <v>10000</v>
      </c>
      <c r="E16" s="83">
        <f>D16*(1+'Raw Data'!D18)</f>
        <v>12640</v>
      </c>
      <c r="F16" s="83">
        <f>E16*(1+'Raw Data'!E18)</f>
        <v>13764.96</v>
      </c>
      <c r="G16" s="83">
        <f>F16*(1+'Raw Data'!F18)</f>
        <v>13489.6608</v>
      </c>
      <c r="H16" s="83">
        <f>G16*(1+'Raw Data'!G18)</f>
        <v>15391.7029728</v>
      </c>
      <c r="I16" s="83">
        <f>H16*(1+'Raw Data'!H18)</f>
        <v>11928.56980392</v>
      </c>
      <c r="J16" s="83">
        <f>I16*(1+'Raw Data'!I18)</f>
        <v>9459.3558545085598</v>
      </c>
      <c r="K16" s="83">
        <f>J16*(1+'Raw Data'!J18)</f>
        <v>12684.996200895979</v>
      </c>
      <c r="L16" s="83">
        <f>K16*(1+'Raw Data'!K18)</f>
        <v>13775.905874173035</v>
      </c>
      <c r="M16" s="83">
        <f>L16*(1+'Raw Data'!L18)</f>
        <v>11144.707852205984</v>
      </c>
      <c r="N16" s="83">
        <f>M16*(1+'Raw Data'!M18)</f>
        <v>14733.303780616312</v>
      </c>
      <c r="O16" s="93"/>
      <c r="P16" s="95"/>
    </row>
    <row r="17" spans="1:16">
      <c r="A17" s="74"/>
      <c r="B17" s="68"/>
      <c r="C17" s="89">
        <f t="shared" si="1"/>
        <v>11</v>
      </c>
      <c r="D17" s="83">
        <f t="shared" si="0"/>
        <v>10000</v>
      </c>
      <c r="E17" s="83">
        <f>D17*(1+'Raw Data'!D19)</f>
        <v>9730</v>
      </c>
      <c r="F17" s="83">
        <f>E17*(1+'Raw Data'!E19)</f>
        <v>9788.3799999999992</v>
      </c>
      <c r="G17" s="83">
        <f>F17*(1+'Raw Data'!F19)</f>
        <v>8985.7328399999988</v>
      </c>
      <c r="H17" s="83">
        <f>G17*(1+'Raw Data'!G19)</f>
        <v>10297.649834639999</v>
      </c>
      <c r="I17" s="83">
        <f>H17*(1+'Raw Data'!H19)</f>
        <v>10565.388730340639</v>
      </c>
      <c r="J17" s="83">
        <f>I17*(1+'Raw Data'!I19)</f>
        <v>14569.67105913974</v>
      </c>
      <c r="K17" s="83">
        <f>J17*(1+'Raw Data'!J19)</f>
        <v>17352.478231435431</v>
      </c>
      <c r="L17" s="83">
        <f>K17*(1+'Raw Data'!K19)</f>
        <v>18914.201272264621</v>
      </c>
      <c r="M17" s="83">
        <f>L17*(1+'Raw Data'!L19)</f>
        <v>19481.627310432559</v>
      </c>
      <c r="N17" s="83">
        <f>M17*(1+'Raw Data'!M19)</f>
        <v>25540.413403977083</v>
      </c>
      <c r="O17" s="93"/>
      <c r="P17" s="95"/>
    </row>
    <row r="18" spans="1:16">
      <c r="A18" s="74"/>
      <c r="B18" s="68"/>
      <c r="C18" s="89">
        <f t="shared" si="1"/>
        <v>12</v>
      </c>
      <c r="D18" s="83">
        <f t="shared" si="0"/>
        <v>10000</v>
      </c>
      <c r="E18" s="83">
        <f>D18*(1+'Raw Data'!D20)</f>
        <v>9640</v>
      </c>
      <c r="F18" s="83">
        <f>E18*(1+'Raw Data'!E20)</f>
        <v>11943.96</v>
      </c>
      <c r="G18" s="83">
        <f>F18*(1+'Raw Data'!F20)</f>
        <v>18752.017199999998</v>
      </c>
      <c r="H18" s="83">
        <f>G18*(1+'Raw Data'!G20)</f>
        <v>24190.102187999997</v>
      </c>
      <c r="I18" s="83">
        <f>H18*(1+'Raw Data'!H20)</f>
        <v>20271.305633543998</v>
      </c>
      <c r="J18" s="83">
        <f>I18*(1+'Raw Data'!I20)</f>
        <v>20555.103912413615</v>
      </c>
      <c r="K18" s="83">
        <f>J18*(1+'Raw Data'!J20)</f>
        <v>21829.520354983259</v>
      </c>
      <c r="L18" s="83">
        <f>K18*(1+'Raw Data'!K20)</f>
        <v>15848.231777717845</v>
      </c>
      <c r="M18" s="83">
        <f>L18*(1+'Raw Data'!L20)</f>
        <v>18859.395815484233</v>
      </c>
      <c r="N18" s="83">
        <f>M18*(1+'Raw Data'!M20)</f>
        <v>27232.96755755923</v>
      </c>
      <c r="O18" s="93"/>
      <c r="P18" s="95"/>
    </row>
    <row r="19" spans="1:16">
      <c r="A19" s="74"/>
      <c r="B19" s="68"/>
      <c r="C19" s="89">
        <f t="shared" si="1"/>
        <v>13</v>
      </c>
      <c r="D19" s="83">
        <f t="shared" si="0"/>
        <v>10000</v>
      </c>
      <c r="E19" s="83">
        <f>D19*(1+'Raw Data'!D21)</f>
        <v>14790.000000000002</v>
      </c>
      <c r="F19" s="83">
        <f>E19*(1+'Raw Data'!E21)</f>
        <v>16875.390000000003</v>
      </c>
      <c r="G19" s="83">
        <f>F19*(1+'Raw Data'!F21)</f>
        <v>23979.929190000006</v>
      </c>
      <c r="H19" s="83">
        <f>G19*(1+'Raw Data'!G21)</f>
        <v>24555.447490560007</v>
      </c>
      <c r="I19" s="83">
        <f>H19*(1+'Raw Data'!H21)</f>
        <v>20847.574919485447</v>
      </c>
      <c r="J19" s="83">
        <f>I19*(1+'Raw Data'!I21)</f>
        <v>26434.724997907546</v>
      </c>
      <c r="K19" s="83">
        <f>J19*(1+'Raw Data'!J21)</f>
        <v>25456.640172984968</v>
      </c>
      <c r="L19" s="83">
        <f>K19*(1+'Raw Data'!K21)</f>
        <v>26474.905779904366</v>
      </c>
      <c r="M19" s="83">
        <f>L19*(1+'Raw Data'!L21)</f>
        <v>32696.508638181887</v>
      </c>
      <c r="N19" s="83">
        <f>M19*(1+'Raw Data'!M21)</f>
        <v>35083.353768769164</v>
      </c>
      <c r="O19" s="93"/>
      <c r="P19" s="95"/>
    </row>
    <row r="20" spans="1:16">
      <c r="A20" s="74"/>
      <c r="B20" s="68"/>
      <c r="C20" s="89">
        <f t="shared" si="1"/>
        <v>14</v>
      </c>
      <c r="D20" s="83">
        <f t="shared" si="0"/>
        <v>10000</v>
      </c>
      <c r="E20" s="83">
        <f>D20*(1+'Raw Data'!D22)</f>
        <v>8920</v>
      </c>
      <c r="F20" s="83">
        <f>E20*(1+'Raw Data'!E22)</f>
        <v>5494.72</v>
      </c>
      <c r="G20" s="83">
        <f>F20*(1+'Raw Data'!F22)</f>
        <v>5752.9718400000002</v>
      </c>
      <c r="H20" s="83">
        <f>G20*(1+'Raw Data'!G22)</f>
        <v>6270.739305600001</v>
      </c>
      <c r="I20" s="83">
        <f>H20*(1+'Raw Data'!H22)</f>
        <v>8515.6639770048023</v>
      </c>
      <c r="J20" s="83">
        <f>I20*(1+'Raw Data'!I22)</f>
        <v>7102.0637568220045</v>
      </c>
      <c r="K20" s="83">
        <f>J20*(1+'Raw Data'!J22)</f>
        <v>7506.881390960858</v>
      </c>
      <c r="L20" s="83">
        <f>K20*(1+'Raw Data'!K22)</f>
        <v>6921.3446424659114</v>
      </c>
      <c r="M20" s="83">
        <f>L20*(1+'Raw Data'!L22)</f>
        <v>11115.679495800252</v>
      </c>
      <c r="N20" s="83">
        <f>M20*(1+'Raw Data'!M22)</f>
        <v>7247.4230312617647</v>
      </c>
      <c r="O20" s="93"/>
      <c r="P20" s="95"/>
    </row>
    <row r="21" spans="1:16">
      <c r="A21" s="74"/>
      <c r="B21" s="68"/>
      <c r="C21" s="89">
        <f t="shared" si="1"/>
        <v>15</v>
      </c>
      <c r="D21" s="83">
        <f t="shared" si="0"/>
        <v>10000</v>
      </c>
      <c r="E21" s="83">
        <f>D21*(1+'Raw Data'!D23)</f>
        <v>10890</v>
      </c>
      <c r="F21" s="83">
        <f>E21*(1+'Raw Data'!E23)</f>
        <v>11521.62</v>
      </c>
      <c r="G21" s="83">
        <f>F21*(1+'Raw Data'!F23)</f>
        <v>11141.40654</v>
      </c>
      <c r="H21" s="83">
        <f>G21*(1+'Raw Data'!G23)</f>
        <v>11308.527638099999</v>
      </c>
      <c r="I21" s="83">
        <f>H21*(1+'Raw Data'!H23)</f>
        <v>10596.090396899699</v>
      </c>
      <c r="J21" s="83">
        <f>I21*(1+'Raw Data'!I23)</f>
        <v>11115.298826347784</v>
      </c>
      <c r="K21" s="83">
        <f>J21*(1+'Raw Data'!J23)</f>
        <v>9881.5006566231805</v>
      </c>
      <c r="L21" s="83">
        <f>K21*(1+'Raw Data'!K23)</f>
        <v>12757.017347700525</v>
      </c>
      <c r="M21" s="83">
        <f>L21*(1+'Raw Data'!L23)</f>
        <v>13841.363822255069</v>
      </c>
      <c r="N21" s="83">
        <f>M21*(1+'Raw Data'!M23)</f>
        <v>13550.695181987712</v>
      </c>
      <c r="O21" s="93"/>
      <c r="P21" s="95"/>
    </row>
    <row r="22" spans="1:16">
      <c r="A22" s="74"/>
      <c r="B22" s="68"/>
      <c r="C22" s="89">
        <f t="shared" si="1"/>
        <v>16</v>
      </c>
      <c r="D22" s="83">
        <f t="shared" si="0"/>
        <v>10000</v>
      </c>
      <c r="E22" s="83">
        <f>D22*(1+'Raw Data'!D24)</f>
        <v>15020</v>
      </c>
      <c r="F22" s="83">
        <f>E22*(1+'Raw Data'!E24)</f>
        <v>20427.199999999997</v>
      </c>
      <c r="G22" s="83">
        <f>F22*(1+'Raw Data'!F24)</f>
        <v>17771.663999999997</v>
      </c>
      <c r="H22" s="83">
        <f>G22*(1+'Raw Data'!G24)</f>
        <v>16865.309135999996</v>
      </c>
      <c r="I22" s="83">
        <f>H22*(1+'Raw Data'!H24)</f>
        <v>18956.607468863996</v>
      </c>
      <c r="J22" s="83">
        <f>I22*(1+'Raw Data'!I24)</f>
        <v>16852.424039820093</v>
      </c>
      <c r="K22" s="83">
        <f>J22*(1+'Raw Data'!J24)</f>
        <v>16178.327078227288</v>
      </c>
      <c r="L22" s="83">
        <f>K22*(1+'Raw Data'!K24)</f>
        <v>18588.897812883155</v>
      </c>
      <c r="M22" s="83">
        <f>L22*(1+'Raw Data'!L24)</f>
        <v>21544.532565131576</v>
      </c>
      <c r="N22" s="83">
        <f>M22*(1+'Raw Data'!M24)</f>
        <v>20962.830185873023</v>
      </c>
      <c r="O22" s="93"/>
      <c r="P22" s="95"/>
    </row>
    <row r="23" spans="1:16">
      <c r="A23" s="74"/>
      <c r="B23" s="68"/>
      <c r="C23" s="89">
        <f t="shared" si="1"/>
        <v>17</v>
      </c>
      <c r="D23" s="83">
        <f t="shared" si="0"/>
        <v>10000</v>
      </c>
      <c r="E23" s="83">
        <f>D23*(1+'Raw Data'!D25)</f>
        <v>8670</v>
      </c>
      <c r="F23" s="83">
        <f>E23*(1+'Raw Data'!E25)</f>
        <v>4595.1000000000004</v>
      </c>
      <c r="G23" s="83">
        <f>F23*(1+'Raw Data'!F25)</f>
        <v>4705.3824000000004</v>
      </c>
      <c r="H23" s="83">
        <f>G23*(1+'Raw Data'!G25)</f>
        <v>4785.3739008000002</v>
      </c>
      <c r="I23" s="83">
        <f>H23*(1+'Raw Data'!H25)</f>
        <v>4239.8412761088002</v>
      </c>
      <c r="J23" s="83">
        <f>I23*(1+'Raw Data'!I25)</f>
        <v>4905.496356457882</v>
      </c>
      <c r="K23" s="83">
        <f>J23*(1+'Raw Data'!J25)</f>
        <v>5685.4702771346856</v>
      </c>
      <c r="L23" s="83">
        <f>K23*(1+'Raw Data'!K25)</f>
        <v>4969.1010222157156</v>
      </c>
      <c r="M23" s="83">
        <f>L23*(1+'Raw Data'!L25)</f>
        <v>5555.4549428371693</v>
      </c>
      <c r="N23" s="83">
        <f>M23*(1+'Raw Data'!M25)</f>
        <v>5694.3413164080976</v>
      </c>
      <c r="O23" s="93"/>
      <c r="P23" s="95"/>
    </row>
    <row r="24" spans="1:16">
      <c r="A24" s="74"/>
      <c r="B24" s="68"/>
      <c r="C24" s="89">
        <f t="shared" si="1"/>
        <v>18</v>
      </c>
      <c r="D24" s="83">
        <f t="shared" si="0"/>
        <v>10000</v>
      </c>
      <c r="E24" s="83">
        <f>D24*(1+'Raw Data'!D26)</f>
        <v>14080</v>
      </c>
      <c r="F24" s="83">
        <f>E24*(1+'Raw Data'!E26)</f>
        <v>11207.68</v>
      </c>
      <c r="G24" s="83">
        <f>F24*(1+'Raw Data'!F26)</f>
        <v>11487.871999999999</v>
      </c>
      <c r="H24" s="83">
        <f>G24*(1+'Raw Data'!G26)</f>
        <v>12062.265600000001</v>
      </c>
      <c r="I24" s="83">
        <f>H24*(1+'Raw Data'!H26)</f>
        <v>11121.408883200002</v>
      </c>
      <c r="J24" s="83">
        <f>I24*(1+'Raw Data'!I26)</f>
        <v>12278.035407052803</v>
      </c>
      <c r="K24" s="83">
        <f>J24*(1+'Raw Data'!J26)</f>
        <v>10104.823140004457</v>
      </c>
      <c r="L24" s="83">
        <f>K24*(1+'Raw Data'!K26)</f>
        <v>11762.014134965188</v>
      </c>
      <c r="M24" s="83">
        <f>L24*(1+'Raw Data'!L26)</f>
        <v>12232.494700363795</v>
      </c>
      <c r="N24" s="83">
        <f>M24*(1+'Raw Data'!M26)</f>
        <v>10935.850262125234</v>
      </c>
      <c r="O24" s="93"/>
      <c r="P24" s="95"/>
    </row>
    <row r="25" spans="1:16">
      <c r="A25" s="74"/>
      <c r="B25" s="68"/>
      <c r="C25" s="89">
        <f t="shared" si="1"/>
        <v>19</v>
      </c>
      <c r="D25" s="83">
        <f t="shared" si="0"/>
        <v>10000</v>
      </c>
      <c r="E25" s="83">
        <f>D25*(1+'Raw Data'!D27)</f>
        <v>11820</v>
      </c>
      <c r="F25" s="83">
        <f>E25*(1+'Raw Data'!E27)</f>
        <v>12741.960000000001</v>
      </c>
      <c r="G25" s="83">
        <f>F25*(1+'Raw Data'!F27)</f>
        <v>14067.123840000002</v>
      </c>
      <c r="H25" s="83">
        <f>G25*(1+'Raw Data'!G27)</f>
        <v>16388.199273600003</v>
      </c>
      <c r="I25" s="83">
        <f>H25*(1+'Raw Data'!H27)</f>
        <v>17174.832838732804</v>
      </c>
      <c r="J25" s="83">
        <f>I25*(1+'Raw Data'!I27)</f>
        <v>15405.825056343325</v>
      </c>
      <c r="K25" s="83">
        <f>J25*(1+'Raw Data'!J27)</f>
        <v>15498.260006681385</v>
      </c>
      <c r="L25" s="83">
        <f>K25*(1+'Raw Data'!K27)</f>
        <v>16335.166047042181</v>
      </c>
      <c r="M25" s="83">
        <f>L25*(1+'Raw Data'!L27)</f>
        <v>19046.803610851181</v>
      </c>
      <c r="N25" s="83">
        <f>M25*(1+'Raw Data'!M27)</f>
        <v>18075.41662669777</v>
      </c>
      <c r="O25" s="93"/>
      <c r="P25" s="95"/>
    </row>
    <row r="26" spans="1:16">
      <c r="A26" s="74"/>
      <c r="B26" s="68"/>
      <c r="C26" s="89">
        <f t="shared" si="1"/>
        <v>20</v>
      </c>
      <c r="D26" s="83">
        <f t="shared" si="0"/>
        <v>10000</v>
      </c>
      <c r="E26" s="83">
        <f>D26*(1+'Raw Data'!D28)</f>
        <v>8220</v>
      </c>
      <c r="F26" s="83">
        <f>E26*(1+'Raw Data'!E28)</f>
        <v>7743.24</v>
      </c>
      <c r="G26" s="83">
        <f>F26*(1+'Raw Data'!F28)</f>
        <v>7263.1591199999993</v>
      </c>
      <c r="H26" s="83">
        <f>G26*(1+'Raw Data'!G28)</f>
        <v>8752.1067395999999</v>
      </c>
      <c r="I26" s="83">
        <f>H26*(1+'Raw Data'!H28)</f>
        <v>9837.3679753104007</v>
      </c>
      <c r="J26" s="83">
        <f>I26*(1+'Raw Data'!I28)</f>
        <v>8824.1190738534297</v>
      </c>
      <c r="K26" s="83">
        <f>J26*(1+'Raw Data'!J28)</f>
        <v>7085.7676163043034</v>
      </c>
      <c r="L26" s="83">
        <f>K26*(1+'Raw Data'!K28)</f>
        <v>9119.3829221836386</v>
      </c>
      <c r="M26" s="83">
        <f>L26*(1+'Raw Data'!L28)</f>
        <v>8873.1595832846797</v>
      </c>
      <c r="N26" s="83">
        <f>M26*(1+'Raw Data'!M28)</f>
        <v>9174.8470091163599</v>
      </c>
      <c r="O26" s="93"/>
      <c r="P26" s="95"/>
    </row>
    <row r="27" spans="1:16">
      <c r="A27" s="74"/>
      <c r="B27" s="68"/>
      <c r="C27" s="89">
        <f t="shared" si="1"/>
        <v>21</v>
      </c>
      <c r="D27" s="83">
        <f t="shared" si="0"/>
        <v>10000</v>
      </c>
      <c r="E27" s="83">
        <f>D27*(1+'Raw Data'!D29)</f>
        <v>8710</v>
      </c>
      <c r="F27" s="83">
        <f>E27*(1+'Raw Data'!E29)</f>
        <v>8318.0499999999993</v>
      </c>
      <c r="G27" s="83">
        <f>F27*(1+'Raw Data'!F29)</f>
        <v>9599.0296999999991</v>
      </c>
      <c r="H27" s="83">
        <f>G27*(1+'Raw Data'!G29)</f>
        <v>8831.1073239999987</v>
      </c>
      <c r="I27" s="83">
        <f>H27*(1+'Raw Data'!H29)</f>
        <v>12063.292604583999</v>
      </c>
      <c r="J27" s="83">
        <f>I27*(1+'Raw Data'!I29)</f>
        <v>9602.3809132488641</v>
      </c>
      <c r="K27" s="83">
        <f>J27*(1+'Raw Data'!J29)</f>
        <v>10994.726145669949</v>
      </c>
      <c r="L27" s="83">
        <f>K27*(1+'Raw Data'!K29)</f>
        <v>10291.063672347071</v>
      </c>
      <c r="M27" s="83">
        <f>L27*(1+'Raw Data'!L29)</f>
        <v>11783.267904837396</v>
      </c>
      <c r="N27" s="83">
        <f>M27*(1+'Raw Data'!M29)</f>
        <v>12018.933262934144</v>
      </c>
      <c r="O27" s="93"/>
      <c r="P27" s="95"/>
    </row>
    <row r="28" spans="1:16">
      <c r="A28" s="74"/>
      <c r="B28" s="68"/>
      <c r="C28" s="89">
        <f t="shared" si="1"/>
        <v>22</v>
      </c>
      <c r="D28" s="83">
        <f t="shared" si="0"/>
        <v>10000</v>
      </c>
      <c r="E28" s="83">
        <f>D28*(1+'Raw Data'!D30)</f>
        <v>10790</v>
      </c>
      <c r="F28" s="83">
        <f>E28*(1+'Raw Data'!E30)</f>
        <v>11771.89</v>
      </c>
      <c r="G28" s="83">
        <f>F28*(1+'Raw Data'!F30)</f>
        <v>10312.175639999999</v>
      </c>
      <c r="H28" s="83">
        <f>G28*(1+'Raw Data'!G30)</f>
        <v>9858.4399118399997</v>
      </c>
      <c r="I28" s="83">
        <f>H28*(1+'Raw Data'!H30)</f>
        <v>12559.652447684161</v>
      </c>
      <c r="J28" s="83">
        <f>I28*(1+'Raw Data'!I30)</f>
        <v>15611.647992471409</v>
      </c>
      <c r="K28" s="83">
        <f>J28*(1+'Raw Data'!J30)</f>
        <v>13909.978361292026</v>
      </c>
      <c r="L28" s="83">
        <f>K28*(1+'Raw Data'!K30)</f>
        <v>15106.23650036314</v>
      </c>
      <c r="M28" s="83">
        <f>L28*(1+'Raw Data'!L30)</f>
        <v>15997.504453884565</v>
      </c>
      <c r="N28" s="83">
        <f>M28*(1+'Raw Data'!M30)</f>
        <v>15085.646700013143</v>
      </c>
      <c r="O28" s="93"/>
      <c r="P28" s="95"/>
    </row>
    <row r="29" spans="1:16">
      <c r="A29" s="74"/>
      <c r="B29" s="68"/>
      <c r="C29" s="89">
        <f t="shared" si="1"/>
        <v>23</v>
      </c>
      <c r="D29" s="83">
        <f t="shared" si="0"/>
        <v>10000</v>
      </c>
      <c r="E29" s="83">
        <f>D29*(1+'Raw Data'!D31)</f>
        <v>8380</v>
      </c>
      <c r="F29" s="83">
        <f>E29*(1+'Raw Data'!E31)</f>
        <v>7416.3</v>
      </c>
      <c r="G29" s="83">
        <f>F29*(1+'Raw Data'!F31)</f>
        <v>9151.7142000000003</v>
      </c>
      <c r="H29" s="83">
        <f>G29*(1+'Raw Data'!G31)</f>
        <v>12903.917022</v>
      </c>
      <c r="I29" s="83">
        <f>H29*(1+'Raw Data'!H31)</f>
        <v>11884.507577262</v>
      </c>
      <c r="J29" s="83">
        <f>I29*(1+'Raw Data'!I31)</f>
        <v>14166.333032096303</v>
      </c>
      <c r="K29" s="83">
        <f>J29*(1+'Raw Data'!J31)</f>
        <v>15370.471339824488</v>
      </c>
      <c r="L29" s="83">
        <f>K29*(1+'Raw Data'!K31)</f>
        <v>10544.143339119597</v>
      </c>
      <c r="M29" s="83">
        <f>L29*(1+'Raw Data'!L31)</f>
        <v>9278.846138425246</v>
      </c>
      <c r="N29" s="83">
        <f>M29*(1+'Raw Data'!M31)</f>
        <v>11412.980750263052</v>
      </c>
      <c r="O29" s="93"/>
      <c r="P29" s="95"/>
    </row>
    <row r="30" spans="1:16">
      <c r="A30" s="74"/>
      <c r="B30" s="68"/>
      <c r="C30" s="89">
        <f t="shared" si="1"/>
        <v>24</v>
      </c>
      <c r="D30" s="83">
        <f t="shared" si="0"/>
        <v>10000</v>
      </c>
      <c r="E30" s="83">
        <f>D30*(1+'Raw Data'!D32)</f>
        <v>9610</v>
      </c>
      <c r="F30" s="83">
        <f>E30*(1+'Raw Data'!E32)</f>
        <v>11109.16</v>
      </c>
      <c r="G30" s="83">
        <f>F30*(1+'Raw Data'!F32)</f>
        <v>15475.059880000001</v>
      </c>
      <c r="H30" s="83">
        <f>G30*(1+'Raw Data'!G32)</f>
        <v>14917.95772432</v>
      </c>
      <c r="I30" s="83">
        <f>H30*(1+'Raw Data'!H32)</f>
        <v>12680.264065672</v>
      </c>
      <c r="J30" s="83">
        <f>I30*(1+'Raw Data'!I32)</f>
        <v>12971.910139182455</v>
      </c>
      <c r="K30" s="83">
        <f>J30*(1+'Raw Data'!J32)</f>
        <v>13957.775309760322</v>
      </c>
      <c r="L30" s="83">
        <f>K30*(1+'Raw Data'!K32)</f>
        <v>14334.635243123848</v>
      </c>
      <c r="M30" s="83">
        <f>L30*(1+'Raw Data'!L32)</f>
        <v>13646.572751453903</v>
      </c>
      <c r="N30" s="83">
        <f>M30*(1+'Raw Data'!M32)</f>
        <v>17181.035094080464</v>
      </c>
      <c r="O30" s="93"/>
      <c r="P30" s="95"/>
    </row>
    <row r="31" spans="1:16">
      <c r="A31" s="74"/>
      <c r="B31" s="68"/>
      <c r="C31" s="89">
        <f t="shared" si="1"/>
        <v>25</v>
      </c>
      <c r="D31" s="83">
        <f t="shared" si="0"/>
        <v>10000</v>
      </c>
      <c r="E31" s="83">
        <f>D31*(1+'Raw Data'!D33)</f>
        <v>11230</v>
      </c>
      <c r="F31" s="83">
        <f>E31*(1+'Raw Data'!E33)</f>
        <v>12442.840000000002</v>
      </c>
      <c r="G31" s="83">
        <f>F31*(1+'Raw Data'!F33)</f>
        <v>14645.222680000003</v>
      </c>
      <c r="H31" s="83">
        <f>G31*(1+'Raw Data'!G33)</f>
        <v>17955.043005680003</v>
      </c>
      <c r="I31" s="83">
        <f>H31*(1+'Raw Data'!H33)</f>
        <v>15136.101253788242</v>
      </c>
      <c r="J31" s="83">
        <f>I31*(1+'Raw Data'!I33)</f>
        <v>15332.870570087487</v>
      </c>
      <c r="K31" s="83">
        <f>J31*(1+'Raw Data'!J33)</f>
        <v>14811.552970704512</v>
      </c>
      <c r="L31" s="83">
        <f>K31*(1+'Raw Data'!K33)</f>
        <v>20736.174158986316</v>
      </c>
      <c r="M31" s="83">
        <f>L31*(1+'Raw Data'!L33)</f>
        <v>22208.442524274342</v>
      </c>
      <c r="N31" s="83">
        <f>M31*(1+'Raw Data'!M33)</f>
        <v>30247.898718061657</v>
      </c>
      <c r="O31" s="93"/>
      <c r="P31" s="95"/>
    </row>
    <row r="32" spans="1:16">
      <c r="A32" s="74"/>
      <c r="B32" s="68"/>
      <c r="C32" s="89">
        <f t="shared" si="1"/>
        <v>26</v>
      </c>
      <c r="D32" s="83">
        <f t="shared" si="0"/>
        <v>10000</v>
      </c>
      <c r="E32" s="83">
        <f>D32*(1+'Raw Data'!D34)</f>
        <v>9380</v>
      </c>
      <c r="F32" s="83">
        <f>E32*(1+'Raw Data'!E34)</f>
        <v>7804.16</v>
      </c>
      <c r="G32" s="83">
        <f>F32*(1+'Raw Data'!F34)</f>
        <v>7679.2934399999995</v>
      </c>
      <c r="H32" s="83">
        <f>G32*(1+'Raw Data'!G34)</f>
        <v>10428.48049152</v>
      </c>
      <c r="I32" s="83">
        <f>H32*(1+'Raw Data'!H34)</f>
        <v>10532.7652964352</v>
      </c>
      <c r="J32" s="83">
        <f>I32*(1+'Raw Data'!I34)</f>
        <v>10301.044459913626</v>
      </c>
      <c r="K32" s="83">
        <f>J32*(1+'Raw Data'!J34)</f>
        <v>12412.758574195921</v>
      </c>
      <c r="L32" s="83">
        <f>K32*(1+'Raw Data'!K34)</f>
        <v>15776.616147803015</v>
      </c>
      <c r="M32" s="83">
        <f>L32*(1+'Raw Data'!L34)</f>
        <v>18269.321499155889</v>
      </c>
      <c r="N32" s="83">
        <f>M32*(1+'Raw Data'!M34)</f>
        <v>20096.253649071481</v>
      </c>
      <c r="O32" s="93"/>
      <c r="P32" s="95"/>
    </row>
    <row r="33" spans="1:16">
      <c r="A33" s="74"/>
      <c r="B33" s="68"/>
      <c r="C33" s="89">
        <f t="shared" si="1"/>
        <v>27</v>
      </c>
      <c r="D33" s="83">
        <f t="shared" si="0"/>
        <v>10000</v>
      </c>
      <c r="E33" s="83">
        <f>D33*(1+'Raw Data'!D35)</f>
        <v>10169.999999999998</v>
      </c>
      <c r="F33" s="83">
        <f>E33*(1+'Raw Data'!E35)</f>
        <v>9366.5699999999979</v>
      </c>
      <c r="G33" s="83">
        <f>F33*(1+'Raw Data'!F35)</f>
        <v>9385.3031399999982</v>
      </c>
      <c r="H33" s="83">
        <f>G33*(1+'Raw Data'!G35)</f>
        <v>11281.134374279998</v>
      </c>
      <c r="I33" s="83">
        <f>H33*(1+'Raw Data'!H35)</f>
        <v>8652.630065072759</v>
      </c>
      <c r="J33" s="83">
        <f>I33*(1+'Raw Data'!I35)</f>
        <v>10339.892927761948</v>
      </c>
      <c r="K33" s="83">
        <f>J33*(1+'Raw Data'!J35)</f>
        <v>11322.182755899334</v>
      </c>
      <c r="L33" s="83">
        <f>K33*(1+'Raw Data'!K35)</f>
        <v>13914.962607000281</v>
      </c>
      <c r="M33" s="83">
        <f>L33*(1+'Raw Data'!L35)</f>
        <v>14332.41148521029</v>
      </c>
      <c r="N33" s="83">
        <f>M33*(1+'Raw Data'!M35)</f>
        <v>17256.223428193189</v>
      </c>
      <c r="O33" s="93"/>
      <c r="P33" s="95"/>
    </row>
    <row r="34" spans="1:16">
      <c r="A34" s="74"/>
      <c r="B34" s="68"/>
      <c r="C34" s="89">
        <f t="shared" si="1"/>
        <v>28</v>
      </c>
      <c r="D34" s="83">
        <f t="shared" si="0"/>
        <v>10000</v>
      </c>
      <c r="E34" s="83">
        <f>D34*(1+'Raw Data'!D36)</f>
        <v>9970</v>
      </c>
      <c r="F34" s="83">
        <f>E34*(1+'Raw Data'!E36)</f>
        <v>9252.16</v>
      </c>
      <c r="G34" s="83">
        <f>F34*(1+'Raw Data'!F36)</f>
        <v>9724.02016</v>
      </c>
      <c r="H34" s="83">
        <f>G34*(1+'Raw Data'!G36)</f>
        <v>7662.5278860799999</v>
      </c>
      <c r="I34" s="83">
        <f>H34*(1+'Raw Data'!H36)</f>
        <v>8949.8325709414385</v>
      </c>
      <c r="J34" s="83">
        <f>I34*(1+'Raw Data'!I36)</f>
        <v>9630.0198463329889</v>
      </c>
      <c r="K34" s="83">
        <f>J34*(1+'Raw Data'!J36)</f>
        <v>9321.8592112503338</v>
      </c>
      <c r="L34" s="83">
        <f>K34*(1+'Raw Data'!K36)</f>
        <v>9554.9056915315905</v>
      </c>
      <c r="M34" s="83">
        <f>L34*(1+'Raw Data'!L36)</f>
        <v>10443.511920844028</v>
      </c>
      <c r="N34" s="83">
        <f>M34*(1+'Raw Data'!M36)</f>
        <v>11352.097457957458</v>
      </c>
      <c r="O34" s="93"/>
      <c r="P34" s="95"/>
    </row>
    <row r="35" spans="1:16">
      <c r="A35" s="74"/>
      <c r="B35" s="68"/>
      <c r="C35" s="89">
        <f t="shared" si="1"/>
        <v>29</v>
      </c>
      <c r="D35" s="83">
        <f t="shared" si="0"/>
        <v>10000</v>
      </c>
      <c r="E35" s="83">
        <f>D35*(1+'Raw Data'!D37)</f>
        <v>11210</v>
      </c>
      <c r="F35" s="83">
        <f>E35*(1+'Raw Data'!E37)</f>
        <v>8452.34</v>
      </c>
      <c r="G35" s="83">
        <f>F35*(1+'Raw Data'!F37)</f>
        <v>12509.4632</v>
      </c>
      <c r="H35" s="83">
        <f>G35*(1+'Raw Data'!G37)</f>
        <v>11371.102048800001</v>
      </c>
      <c r="I35" s="83">
        <f>H35*(1+'Raw Data'!H37)</f>
        <v>8425.9866181608013</v>
      </c>
      <c r="J35" s="83">
        <f>I35*(1+'Raw Data'!I37)</f>
        <v>10389.241500192269</v>
      </c>
      <c r="K35" s="83">
        <f>J35*(1+'Raw Data'!J37)</f>
        <v>11147.656129706304</v>
      </c>
      <c r="L35" s="83">
        <f>K35*(1+'Raw Data'!K37)</f>
        <v>9586.9842715474206</v>
      </c>
      <c r="M35" s="83">
        <f>L35*(1+'Raw Data'!L37)</f>
        <v>11753.642716917137</v>
      </c>
      <c r="N35" s="83">
        <f>M35*(1+'Raw Data'!M37)</f>
        <v>15068.16996308777</v>
      </c>
      <c r="O35" s="93"/>
      <c r="P35" s="95"/>
    </row>
    <row r="36" spans="1:16">
      <c r="A36" s="74"/>
      <c r="B36" s="68"/>
      <c r="C36" s="89">
        <f t="shared" si="1"/>
        <v>30</v>
      </c>
      <c r="D36" s="83">
        <f t="shared" si="0"/>
        <v>10000</v>
      </c>
      <c r="E36" s="83">
        <f>D36*(1+'Raw Data'!D38)</f>
        <v>8690</v>
      </c>
      <c r="F36" s="83">
        <f>E36*(1+'Raw Data'!E38)</f>
        <v>12174.69</v>
      </c>
      <c r="G36" s="83">
        <f>F36*(1+'Raw Data'!F38)</f>
        <v>13611.303419999998</v>
      </c>
      <c r="H36" s="83">
        <f>G36*(1+'Raw Data'!G38)</f>
        <v>11174.880107819998</v>
      </c>
      <c r="I36" s="83">
        <f>H36*(1+'Raw Data'!H38)</f>
        <v>15767.755832134017</v>
      </c>
      <c r="J36" s="83">
        <f>I36*(1+'Raw Data'!I38)</f>
        <v>12866.488759021358</v>
      </c>
      <c r="K36" s="83">
        <f>J36*(1+'Raw Data'!J38)</f>
        <v>13226.750444273957</v>
      </c>
      <c r="L36" s="83">
        <f>K36*(1+'Raw Data'!K38)</f>
        <v>22313.527999490168</v>
      </c>
      <c r="M36" s="83">
        <f>L36*(1+'Raw Data'!L38)</f>
        <v>22358.155055489147</v>
      </c>
      <c r="N36" s="83">
        <f>M36*(1+'Raw Data'!M38)</f>
        <v>27120.442082308338</v>
      </c>
      <c r="O36" s="93"/>
      <c r="P36" s="95"/>
    </row>
    <row r="37" spans="1:16">
      <c r="A37" s="74"/>
      <c r="B37" s="68"/>
      <c r="C37" s="89">
        <f t="shared" si="1"/>
        <v>31</v>
      </c>
      <c r="D37" s="83">
        <f t="shared" si="0"/>
        <v>10000</v>
      </c>
      <c r="E37" s="83">
        <f>D37*(1+'Raw Data'!D39)</f>
        <v>12509.999999999998</v>
      </c>
      <c r="F37" s="83">
        <f>E37*(1+'Raw Data'!E39)</f>
        <v>11721.869999999999</v>
      </c>
      <c r="G37" s="83">
        <f>F37*(1+'Raw Data'!F39)</f>
        <v>8428.0245299999988</v>
      </c>
      <c r="H37" s="83">
        <f>G37*(1+'Raw Data'!G39)</f>
        <v>10442.322392669997</v>
      </c>
      <c r="I37" s="83">
        <f>H37*(1+'Raw Data'!H39)</f>
        <v>13575.019110470997</v>
      </c>
      <c r="J37" s="83">
        <f>I37*(1+'Raw Data'!I39)</f>
        <v>16194.997798791901</v>
      </c>
      <c r="K37" s="83">
        <f>J37*(1+'Raw Data'!J39)</f>
        <v>17425.817631500086</v>
      </c>
      <c r="L37" s="83">
        <f>K37*(1+'Raw Data'!K39)</f>
        <v>13452.731211518067</v>
      </c>
      <c r="M37" s="83">
        <f>L37*(1+'Raw Data'!L39)</f>
        <v>18484.052684625825</v>
      </c>
      <c r="N37" s="83">
        <f>M37*(1+'Raw Data'!M39)</f>
        <v>25970.094021899284</v>
      </c>
      <c r="O37" s="93"/>
      <c r="P37" s="95"/>
    </row>
    <row r="38" spans="1:16">
      <c r="A38" s="74"/>
      <c r="B38" s="68"/>
      <c r="C38" s="89">
        <f t="shared" si="1"/>
        <v>32</v>
      </c>
      <c r="D38" s="83">
        <f t="shared" si="0"/>
        <v>10000</v>
      </c>
      <c r="E38" s="83">
        <f>D38*(1+'Raw Data'!D40)</f>
        <v>9580</v>
      </c>
      <c r="F38" s="83">
        <f>E38*(1+'Raw Data'!E40)</f>
        <v>9455.4599999999991</v>
      </c>
      <c r="G38" s="83">
        <f>F38*(1+'Raw Data'!F40)</f>
        <v>10911.600839999997</v>
      </c>
      <c r="H38" s="83">
        <f>G38*(1+'Raw Data'!G40)</f>
        <v>15756.351612959996</v>
      </c>
      <c r="I38" s="83">
        <f>H38*(1+'Raw Data'!H40)</f>
        <v>15646.057151669276</v>
      </c>
      <c r="J38" s="83">
        <f>I38*(1+'Raw Data'!I40)</f>
        <v>15442.658408697576</v>
      </c>
      <c r="K38" s="83">
        <f>J38*(1+'Raw Data'!J40)</f>
        <v>9620.7761886185908</v>
      </c>
      <c r="L38" s="83">
        <f>K38*(1+'Raw Data'!K40)</f>
        <v>11342.89512638132</v>
      </c>
      <c r="M38" s="83">
        <f>L38*(1+'Raw Data'!L40)</f>
        <v>10741.721684683109</v>
      </c>
      <c r="N38" s="83">
        <f>M38*(1+'Raw Data'!M40)</f>
        <v>10945.814396692087</v>
      </c>
      <c r="O38" s="93"/>
      <c r="P38" s="95"/>
    </row>
    <row r="39" spans="1:16">
      <c r="A39" s="74"/>
      <c r="B39" s="68"/>
      <c r="C39" s="89">
        <f t="shared" si="1"/>
        <v>33</v>
      </c>
      <c r="D39" s="83">
        <f t="shared" ref="D39:D70" si="2">StartAssetValue</f>
        <v>10000</v>
      </c>
      <c r="E39" s="83">
        <f>D39*(1+'Raw Data'!D41)</f>
        <v>10530</v>
      </c>
      <c r="F39" s="83">
        <f>E39*(1+'Raw Data'!E41)</f>
        <v>12888.72</v>
      </c>
      <c r="G39" s="83">
        <f>F39*(1+'Raw Data'!F41)</f>
        <v>13249.604159999999</v>
      </c>
      <c r="H39" s="83">
        <f>G39*(1+'Raw Data'!G41)</f>
        <v>9698.7102451199989</v>
      </c>
      <c r="I39" s="83">
        <f>H39*(1+'Raw Data'!H41)</f>
        <v>10668.581269631999</v>
      </c>
      <c r="J39" s="83">
        <f>I39*(1+'Raw Data'!I41)</f>
        <v>10039.134974723711</v>
      </c>
      <c r="K39" s="83">
        <f>J39*(1+'Raw Data'!J41)</f>
        <v>8593.499538363496</v>
      </c>
      <c r="L39" s="83">
        <f>K39*(1+'Raw Data'!K41)</f>
        <v>7338.848605762425</v>
      </c>
      <c r="M39" s="83">
        <f>L39*(1+'Raw Data'!L41)</f>
        <v>6626.9802910034696</v>
      </c>
      <c r="N39" s="83">
        <f>M39*(1+'Raw Data'!M41)</f>
        <v>7336.0671821408405</v>
      </c>
      <c r="O39" s="93"/>
      <c r="P39" s="95"/>
    </row>
    <row r="40" spans="1:16">
      <c r="A40" s="74"/>
      <c r="B40" s="68"/>
      <c r="C40" s="89">
        <f t="shared" si="1"/>
        <v>34</v>
      </c>
      <c r="D40" s="83">
        <f t="shared" si="2"/>
        <v>10000</v>
      </c>
      <c r="E40" s="83">
        <f>D40*(1+'Raw Data'!D42)</f>
        <v>10820</v>
      </c>
      <c r="F40" s="83">
        <f>E40*(1+'Raw Data'!E42)</f>
        <v>9391.76</v>
      </c>
      <c r="G40" s="83">
        <f>F40*(1+'Raw Data'!F42)</f>
        <v>11739.7</v>
      </c>
      <c r="H40" s="83">
        <f>G40*(1+'Raw Data'!G42)</f>
        <v>8640.4192000000003</v>
      </c>
      <c r="I40" s="83">
        <f>H40*(1+'Raw Data'!H42)</f>
        <v>11820.093465599999</v>
      </c>
      <c r="J40" s="83">
        <f>I40*(1+'Raw Data'!I42)</f>
        <v>7836.7219676927998</v>
      </c>
      <c r="K40" s="83">
        <f>J40*(1+'Raw Data'!J42)</f>
        <v>7209.7842102773766</v>
      </c>
      <c r="L40" s="83">
        <f>K40*(1+'Raw Data'!K42)</f>
        <v>8521.9649365478581</v>
      </c>
      <c r="M40" s="83">
        <f>L40*(1+'Raw Data'!L42)</f>
        <v>9101.4585522331126</v>
      </c>
      <c r="N40" s="83">
        <f>M40*(1+'Raw Data'!M42)</f>
        <v>11613.461112649453</v>
      </c>
      <c r="O40" s="93"/>
      <c r="P40" s="95"/>
    </row>
    <row r="41" spans="1:16">
      <c r="A41" s="74"/>
      <c r="B41" s="68"/>
      <c r="C41" s="89">
        <f t="shared" si="1"/>
        <v>35</v>
      </c>
      <c r="D41" s="83">
        <f t="shared" si="2"/>
        <v>10000</v>
      </c>
      <c r="E41" s="83">
        <f>D41*(1+'Raw Data'!D43)</f>
        <v>8280</v>
      </c>
      <c r="F41" s="83">
        <f>E41*(1+'Raw Data'!E43)</f>
        <v>11194.56</v>
      </c>
      <c r="G41" s="83">
        <f>F41*(1+'Raw Data'!F43)</f>
        <v>15325.352639999999</v>
      </c>
      <c r="H41" s="83">
        <f>G41*(1+'Raw Data'!G43)</f>
        <v>14773.639944959999</v>
      </c>
      <c r="I41" s="83">
        <f>H41*(1+'Raw Data'!H43)</f>
        <v>12705.3303526656</v>
      </c>
      <c r="J41" s="83">
        <f>I41*(1+'Raw Data'!I43)</f>
        <v>12997.552950776908</v>
      </c>
      <c r="K41" s="83">
        <f>J41*(1+'Raw Data'!J43)</f>
        <v>12620.623915204378</v>
      </c>
      <c r="L41" s="83">
        <f>K41*(1+'Raw Data'!K43)</f>
        <v>18034.871574827055</v>
      </c>
      <c r="M41" s="83">
        <f>L41*(1+'Raw Data'!L43)</f>
        <v>15924.791600572289</v>
      </c>
      <c r="N41" s="83">
        <f>M41*(1+'Raw Data'!M43)</f>
        <v>12421.337448446386</v>
      </c>
      <c r="O41" s="93"/>
      <c r="P41" s="95"/>
    </row>
    <row r="42" spans="1:16">
      <c r="A42" s="74"/>
      <c r="B42" s="68"/>
      <c r="C42" s="89">
        <f t="shared" si="1"/>
        <v>36</v>
      </c>
      <c r="D42" s="83">
        <f t="shared" si="2"/>
        <v>10000</v>
      </c>
      <c r="E42" s="83">
        <f>D42*(1+'Raw Data'!D44)</f>
        <v>10220</v>
      </c>
      <c r="F42" s="83">
        <f>E42*(1+'Raw Data'!E44)</f>
        <v>13429.08</v>
      </c>
      <c r="G42" s="83">
        <f>F42*(1+'Raw Data'!F44)</f>
        <v>12260.750040000001</v>
      </c>
      <c r="H42" s="83">
        <f>G42*(1+'Raw Data'!G44)</f>
        <v>12677.615541360001</v>
      </c>
      <c r="I42" s="83">
        <f>H42*(1+'Raw Data'!H44)</f>
        <v>11105.591214231361</v>
      </c>
      <c r="J42" s="83">
        <f>I42*(1+'Raw Data'!I44)</f>
        <v>14148.523206930755</v>
      </c>
      <c r="K42" s="83">
        <f>J42*(1+'Raw Data'!J44)</f>
        <v>12394.106329271341</v>
      </c>
      <c r="L42" s="83">
        <f>K42*(1+'Raw Data'!K44)</f>
        <v>10299.502359624483</v>
      </c>
      <c r="M42" s="83">
        <f>L42*(1+'Raw Data'!L44)</f>
        <v>14110.318232685542</v>
      </c>
      <c r="N42" s="83">
        <f>M42*(1+'Raw Data'!M44)</f>
        <v>15450.798464790669</v>
      </c>
      <c r="O42" s="93"/>
      <c r="P42" s="95"/>
    </row>
    <row r="43" spans="1:16">
      <c r="A43" s="74"/>
      <c r="B43" s="68"/>
      <c r="C43" s="89">
        <f t="shared" si="1"/>
        <v>37</v>
      </c>
      <c r="D43" s="83">
        <f t="shared" si="2"/>
        <v>10000</v>
      </c>
      <c r="E43" s="83">
        <f>D43*(1+'Raw Data'!D45)</f>
        <v>11630</v>
      </c>
      <c r="F43" s="83">
        <f>E43*(1+'Raw Data'!E45)</f>
        <v>10339.07</v>
      </c>
      <c r="G43" s="83">
        <f>F43*(1+'Raw Data'!F45)</f>
        <v>10783.650009999999</v>
      </c>
      <c r="H43" s="83">
        <f>G43*(1+'Raw Data'!G45)</f>
        <v>13188.403962230001</v>
      </c>
      <c r="I43" s="83">
        <f>H43*(1+'Raw Data'!H45)</f>
        <v>11104.63613619766</v>
      </c>
      <c r="J43" s="83">
        <f>I43*(1+'Raw Data'!I45)</f>
        <v>15979.571399988434</v>
      </c>
      <c r="K43" s="83">
        <f>J43*(1+'Raw Data'!J45)</f>
        <v>9923.3138393928166</v>
      </c>
      <c r="L43" s="83">
        <f>K43*(1+'Raw Data'!K45)</f>
        <v>12185.829394774379</v>
      </c>
      <c r="M43" s="83">
        <f>L43*(1+'Raw Data'!L45)</f>
        <v>13453.155651830915</v>
      </c>
      <c r="N43" s="83">
        <f>M43*(1+'Raw Data'!M45)</f>
        <v>17179.679767388079</v>
      </c>
      <c r="O43" s="93"/>
      <c r="P43" s="95"/>
    </row>
    <row r="44" spans="1:16">
      <c r="A44" s="74"/>
      <c r="B44" s="68"/>
      <c r="C44" s="89">
        <f t="shared" si="1"/>
        <v>38</v>
      </c>
      <c r="D44" s="83">
        <f t="shared" si="2"/>
        <v>10000</v>
      </c>
      <c r="E44" s="83">
        <f>D44*(1+'Raw Data'!D46)</f>
        <v>10040</v>
      </c>
      <c r="F44" s="83">
        <f>E44*(1+'Raw Data'!E46)</f>
        <v>9166.52</v>
      </c>
      <c r="G44" s="83">
        <f>F44*(1+'Raw Data'!F46)</f>
        <v>8827.358760000001</v>
      </c>
      <c r="H44" s="83">
        <f>G44*(1+'Raw Data'!G46)</f>
        <v>10495.729565640002</v>
      </c>
      <c r="I44" s="83">
        <f>H44*(1+'Raw Data'!H46)</f>
        <v>9110.2932629755214</v>
      </c>
      <c r="J44" s="83">
        <f>I44*(1+'Raw Data'!I46)</f>
        <v>6431.8670436607181</v>
      </c>
      <c r="K44" s="83">
        <f>J44*(1+'Raw Data'!J46)</f>
        <v>7917.6283307463445</v>
      </c>
      <c r="L44" s="83">
        <f>K44*(1+'Raw Data'!K46)</f>
        <v>6072.8209296824461</v>
      </c>
      <c r="M44" s="83">
        <f>L44*(1+'Raw Data'!L46)</f>
        <v>6006.0198994559396</v>
      </c>
      <c r="N44" s="83">
        <f>M44*(1+'Raw Data'!M46)</f>
        <v>7645.6633320074116</v>
      </c>
      <c r="O44" s="93"/>
      <c r="P44" s="95"/>
    </row>
    <row r="45" spans="1:16">
      <c r="A45" s="74"/>
      <c r="B45" s="68"/>
      <c r="C45" s="89">
        <f t="shared" si="1"/>
        <v>39</v>
      </c>
      <c r="D45" s="83">
        <f t="shared" si="2"/>
        <v>10000</v>
      </c>
      <c r="E45" s="83">
        <f>D45*(1+'Raw Data'!D47)</f>
        <v>11210</v>
      </c>
      <c r="F45" s="83">
        <f>E45*(1+'Raw Data'!E47)</f>
        <v>11624.769999999999</v>
      </c>
      <c r="G45" s="83">
        <f>F45*(1+'Raw Data'!F47)</f>
        <v>9788.0563399999992</v>
      </c>
      <c r="H45" s="83">
        <f>G45*(1+'Raw Data'!G47)</f>
        <v>10160.00248092</v>
      </c>
      <c r="I45" s="83">
        <f>H45*(1+'Raw Data'!H47)</f>
        <v>7487.9218284380404</v>
      </c>
      <c r="J45" s="83">
        <f>I45*(1+'Raw Data'!I47)</f>
        <v>6574.3953653685994</v>
      </c>
      <c r="K45" s="83">
        <f>J45*(1+'Raw Data'!J47)</f>
        <v>7685.4681821158929</v>
      </c>
      <c r="L45" s="83">
        <f>K45*(1+'Raw Data'!K47)</f>
        <v>7631.6699048410819</v>
      </c>
      <c r="M45" s="83">
        <f>L45*(1+'Raw Data'!L47)</f>
        <v>10394.334410393554</v>
      </c>
      <c r="N45" s="83">
        <f>M45*(1+'Raw Data'!M47)</f>
        <v>9843.4346866426949</v>
      </c>
      <c r="O45" s="93"/>
      <c r="P45" s="95"/>
    </row>
    <row r="46" spans="1:16">
      <c r="A46" s="74"/>
      <c r="B46" s="68"/>
      <c r="C46" s="89">
        <f t="shared" si="1"/>
        <v>40</v>
      </c>
      <c r="D46" s="83">
        <f t="shared" si="2"/>
        <v>10000</v>
      </c>
      <c r="E46" s="83">
        <f>D46*(1+'Raw Data'!D48)</f>
        <v>10500</v>
      </c>
      <c r="F46" s="83">
        <f>E46*(1+'Raw Data'!E48)</f>
        <v>12348</v>
      </c>
      <c r="G46" s="83">
        <f>F46*(1+'Raw Data'!F48)</f>
        <v>13039.488000000001</v>
      </c>
      <c r="H46" s="83">
        <f>G46*(1+'Raw Data'!G48)</f>
        <v>11383.473024000001</v>
      </c>
      <c r="I46" s="83">
        <f>H46*(1+'Raw Data'!H48)</f>
        <v>12248.616973824002</v>
      </c>
      <c r="J46" s="83">
        <f>I46*(1+'Raw Data'!I48)</f>
        <v>16045.688235709444</v>
      </c>
      <c r="K46" s="83">
        <f>J46*(1+'Raw Data'!J48)</f>
        <v>17265.160541623361</v>
      </c>
      <c r="L46" s="83">
        <f>K46*(1+'Raw Data'!K48)</f>
        <v>16729.940564833036</v>
      </c>
      <c r="M46" s="83">
        <f>L46*(1+'Raw Data'!L48)</f>
        <v>15458.465081905726</v>
      </c>
      <c r="N46" s="83">
        <f>M46*(1+'Raw Data'!M48)</f>
        <v>15705.800523216218</v>
      </c>
      <c r="O46" s="93"/>
      <c r="P46" s="95"/>
    </row>
    <row r="47" spans="1:16">
      <c r="A47" s="74"/>
      <c r="B47" s="68"/>
      <c r="C47" s="89">
        <f t="shared" si="1"/>
        <v>41</v>
      </c>
      <c r="D47" s="83">
        <f t="shared" si="2"/>
        <v>10000</v>
      </c>
      <c r="E47" s="83">
        <f>D47*(1+'Raw Data'!D49)</f>
        <v>9410</v>
      </c>
      <c r="F47" s="83">
        <f>E47*(1+'Raw Data'!E49)</f>
        <v>9739.3499999999985</v>
      </c>
      <c r="G47" s="83">
        <f>F47*(1+'Raw Data'!F49)</f>
        <v>11346.342749999998</v>
      </c>
      <c r="H47" s="83">
        <f>G47*(1+'Raw Data'!G49)</f>
        <v>13956.001582499997</v>
      </c>
      <c r="I47" s="83">
        <f>H47*(1+'Raw Data'!H49)</f>
        <v>18380.054084152496</v>
      </c>
      <c r="J47" s="83">
        <f>I47*(1+'Raw Data'!I49)</f>
        <v>22460.426090834349</v>
      </c>
      <c r="K47" s="83">
        <f>J47*(1+'Raw Data'!J49)</f>
        <v>25290.439778279477</v>
      </c>
      <c r="L47" s="83">
        <f>K47*(1+'Raw Data'!K49)</f>
        <v>26352.638248967214</v>
      </c>
      <c r="M47" s="83">
        <f>L47*(1+'Raw Data'!L49)</f>
        <v>27749.328076162474</v>
      </c>
      <c r="N47" s="83">
        <f>M47*(1+'Raw Data'!M49)</f>
        <v>27527.333451553175</v>
      </c>
      <c r="O47" s="93"/>
      <c r="P47" s="95"/>
    </row>
    <row r="48" spans="1:16">
      <c r="A48" s="74"/>
      <c r="B48" s="68"/>
      <c r="C48" s="89">
        <f t="shared" si="1"/>
        <v>42</v>
      </c>
      <c r="D48" s="83">
        <f t="shared" si="2"/>
        <v>10000</v>
      </c>
      <c r="E48" s="83">
        <f>D48*(1+'Raw Data'!D50)</f>
        <v>12150</v>
      </c>
      <c r="F48" s="83">
        <f>E48*(1+'Raw Data'!E50)</f>
        <v>9890.1</v>
      </c>
      <c r="G48" s="83">
        <f>F48*(1+'Raw Data'!F50)</f>
        <v>15171.413400000001</v>
      </c>
      <c r="H48" s="83">
        <f>G48*(1+'Raw Data'!G50)</f>
        <v>15490.0130814</v>
      </c>
      <c r="I48" s="83">
        <f>H48*(1+'Raw Data'!H50)</f>
        <v>13197.4911453528</v>
      </c>
      <c r="J48" s="83">
        <f>I48*(1+'Raw Data'!I50)</f>
        <v>17117.14601552258</v>
      </c>
      <c r="K48" s="83">
        <f>J48*(1+'Raw Data'!J50)</f>
        <v>22235.17267416383</v>
      </c>
      <c r="L48" s="83">
        <f>K48*(1+'Raw Data'!K50)</f>
        <v>17454.610549218607</v>
      </c>
      <c r="M48" s="83">
        <f>L48*(1+'Raw Data'!L50)</f>
        <v>22830.630598377938</v>
      </c>
      <c r="N48" s="83">
        <f>M48*(1+'Raw Data'!M50)</f>
        <v>20296.430601957989</v>
      </c>
      <c r="O48" s="93"/>
      <c r="P48" s="95"/>
    </row>
    <row r="49" spans="1:16">
      <c r="A49" s="74"/>
      <c r="B49" s="68"/>
      <c r="C49" s="89">
        <f t="shared" si="1"/>
        <v>43</v>
      </c>
      <c r="D49" s="83">
        <f t="shared" si="2"/>
        <v>10000</v>
      </c>
      <c r="E49" s="83">
        <f>D49*(1+'Raw Data'!D51)</f>
        <v>10640</v>
      </c>
      <c r="F49" s="83">
        <f>E49*(1+'Raw Data'!E51)</f>
        <v>7831.04</v>
      </c>
      <c r="G49" s="83">
        <f>F49*(1+'Raw Data'!F51)</f>
        <v>13954.913280000001</v>
      </c>
      <c r="H49" s="83">
        <f>G49*(1+'Raw Data'!G51)</f>
        <v>16773.805762560001</v>
      </c>
      <c r="I49" s="83">
        <f>H49*(1+'Raw Data'!H51)</f>
        <v>23063.982923520001</v>
      </c>
      <c r="J49" s="83">
        <f>I49*(1+'Raw Data'!I51)</f>
        <v>32151.192195386884</v>
      </c>
      <c r="K49" s="83">
        <f>J49*(1+'Raw Data'!J51)</f>
        <v>36684.510294936437</v>
      </c>
      <c r="L49" s="83">
        <f>K49*(1+'Raw Data'!K51)</f>
        <v>38958.949933222495</v>
      </c>
      <c r="M49" s="83">
        <f>L49*(1+'Raw Data'!L51)</f>
        <v>31556.749445910224</v>
      </c>
      <c r="N49" s="83">
        <f>M49*(1+'Raw Data'!M51)</f>
        <v>26223.658789551395</v>
      </c>
      <c r="O49" s="93"/>
      <c r="P49" s="95"/>
    </row>
    <row r="50" spans="1:16">
      <c r="A50" s="74"/>
      <c r="B50" s="68"/>
      <c r="C50" s="89">
        <f t="shared" si="1"/>
        <v>44</v>
      </c>
      <c r="D50" s="83">
        <f t="shared" si="2"/>
        <v>10000</v>
      </c>
      <c r="E50" s="83">
        <f>D50*(1+'Raw Data'!D52)</f>
        <v>11840</v>
      </c>
      <c r="F50" s="83">
        <f>E50*(1+'Raw Data'!E52)</f>
        <v>13296.32</v>
      </c>
      <c r="G50" s="83">
        <f>F50*(1+'Raw Data'!F52)</f>
        <v>14067.50656</v>
      </c>
      <c r="H50" s="83">
        <f>G50*(1+'Raw Data'!G52)</f>
        <v>17162.358003199999</v>
      </c>
      <c r="I50" s="83">
        <f>H50*(1+'Raw Data'!H52)</f>
        <v>15154.3621168256</v>
      </c>
      <c r="J50" s="83">
        <f>I50*(1+'Raw Data'!I52)</f>
        <v>10138.268256156327</v>
      </c>
      <c r="K50" s="83">
        <f>J50*(1+'Raw Data'!J52)</f>
        <v>9459.0042829938538</v>
      </c>
      <c r="L50" s="83">
        <f>K50*(1+'Raw Data'!K52)</f>
        <v>6857.7781051705442</v>
      </c>
      <c r="M50" s="83">
        <f>L50*(1+'Raw Data'!L52)</f>
        <v>6864.6358832757141</v>
      </c>
      <c r="N50" s="83">
        <f>M50*(1+'Raw Data'!M52)</f>
        <v>6720.4785297269236</v>
      </c>
      <c r="O50" s="93"/>
      <c r="P50" s="95"/>
    </row>
    <row r="51" spans="1:16">
      <c r="A51" s="74"/>
      <c r="B51" s="68"/>
      <c r="C51" s="89">
        <f t="shared" si="1"/>
        <v>45</v>
      </c>
      <c r="D51" s="83">
        <f t="shared" si="2"/>
        <v>10000</v>
      </c>
      <c r="E51" s="83">
        <f>D51*(1+'Raw Data'!D53)</f>
        <v>11490</v>
      </c>
      <c r="F51" s="83">
        <f>E51*(1+'Raw Data'!E53)</f>
        <v>10812.09</v>
      </c>
      <c r="G51" s="83">
        <f>F51*(1+'Raw Data'!F53)</f>
        <v>9341.6457599999994</v>
      </c>
      <c r="H51" s="83">
        <f>G51*(1+'Raw Data'!G53)</f>
        <v>9705.9699446399991</v>
      </c>
      <c r="I51" s="83">
        <f>H51*(1+'Raw Data'!H53)</f>
        <v>8483.0177316153586</v>
      </c>
      <c r="J51" s="83">
        <f>I51*(1+'Raw Data'!I53)</f>
        <v>10120.240153817123</v>
      </c>
      <c r="K51" s="83">
        <f>J51*(1+'Raw Data'!J53)</f>
        <v>11678.757137504959</v>
      </c>
      <c r="L51" s="83">
        <f>K51*(1+'Raw Data'!K53)</f>
        <v>13991.151050730941</v>
      </c>
      <c r="M51" s="83">
        <f>L51*(1+'Raw Data'!L53)</f>
        <v>12773.92090931735</v>
      </c>
      <c r="N51" s="83">
        <f>M51*(1+'Raw Data'!M53)</f>
        <v>16018.496820283957</v>
      </c>
      <c r="O51" s="93"/>
      <c r="P51" s="95"/>
    </row>
    <row r="52" spans="1:16">
      <c r="A52" s="74"/>
      <c r="B52" s="68"/>
      <c r="C52" s="89">
        <f t="shared" si="1"/>
        <v>46</v>
      </c>
      <c r="D52" s="83">
        <f t="shared" si="2"/>
        <v>10000</v>
      </c>
      <c r="E52" s="83">
        <f>D52*(1+'Raw Data'!D54)</f>
        <v>10450</v>
      </c>
      <c r="F52" s="83">
        <f>E52*(1+'Raw Data'!E54)</f>
        <v>10261.9</v>
      </c>
      <c r="G52" s="83">
        <f>F52*(1+'Raw Data'!F54)</f>
        <v>7737.4726000000001</v>
      </c>
      <c r="H52" s="83">
        <f>G52*(1+'Raw Data'!G54)</f>
        <v>7118.474792</v>
      </c>
      <c r="I52" s="83">
        <f>H52*(1+'Raw Data'!H54)</f>
        <v>9588.585544824</v>
      </c>
      <c r="J52" s="83">
        <f>I52*(1+'Raw Data'!I54)</f>
        <v>6328.4664595838394</v>
      </c>
      <c r="K52" s="83">
        <f>J52*(1+'Raw Data'!J54)</f>
        <v>5043.78776828832</v>
      </c>
      <c r="L52" s="83">
        <f>K52*(1+'Raw Data'!K54)</f>
        <v>5013.5250416785902</v>
      </c>
      <c r="M52" s="83">
        <f>L52*(1+'Raw Data'!L54)</f>
        <v>5133.8496426788761</v>
      </c>
      <c r="N52" s="83">
        <f>M52*(1+'Raw Data'!M54)</f>
        <v>5026.0388001826195</v>
      </c>
      <c r="O52" s="93"/>
      <c r="P52" s="95"/>
    </row>
    <row r="53" spans="1:16">
      <c r="A53" s="74"/>
      <c r="B53" s="68"/>
      <c r="C53" s="89">
        <f t="shared" si="1"/>
        <v>47</v>
      </c>
      <c r="D53" s="83">
        <f t="shared" si="2"/>
        <v>10000</v>
      </c>
      <c r="E53" s="83">
        <f>D53*(1+'Raw Data'!D55)</f>
        <v>13140</v>
      </c>
      <c r="F53" s="83">
        <f>E53*(1+'Raw Data'!E55)</f>
        <v>20656.080000000002</v>
      </c>
      <c r="G53" s="83">
        <f>F53*(1+'Raw Data'!F55)</f>
        <v>20614.76784</v>
      </c>
      <c r="H53" s="83">
        <f>G53*(1+'Raw Data'!G55)</f>
        <v>28695.75683328</v>
      </c>
      <c r="I53" s="83">
        <f>H53*(1+'Raw Data'!H55)</f>
        <v>34320.125172602879</v>
      </c>
      <c r="J53" s="83">
        <f>I53*(1+'Raw Data'!I55)</f>
        <v>41218.470332296063</v>
      </c>
      <c r="K53" s="83">
        <f>J53*(1+'Raw Data'!J55)</f>
        <v>42537.461382929541</v>
      </c>
      <c r="L53" s="83">
        <f>K53*(1+'Raw Data'!K55)</f>
        <v>43345.673149205199</v>
      </c>
      <c r="M53" s="83">
        <f>L53*(1+'Raw Data'!L55)</f>
        <v>52578.301529985911</v>
      </c>
      <c r="N53" s="83">
        <f>M53*(1+'Raw Data'!M55)</f>
        <v>54523.698686595388</v>
      </c>
      <c r="O53" s="93"/>
      <c r="P53" s="95"/>
    </row>
    <row r="54" spans="1:16">
      <c r="A54" s="74"/>
      <c r="B54" s="68"/>
      <c r="C54" s="89">
        <f t="shared" si="1"/>
        <v>48</v>
      </c>
      <c r="D54" s="83">
        <f t="shared" si="2"/>
        <v>10000</v>
      </c>
      <c r="E54" s="83">
        <f>D54*(1+'Raw Data'!D56)</f>
        <v>10620</v>
      </c>
      <c r="F54" s="83">
        <f>E54*(1+'Raw Data'!E56)</f>
        <v>7136.6399999999994</v>
      </c>
      <c r="G54" s="83">
        <f>F54*(1+'Raw Data'!F56)</f>
        <v>8349.8687999999984</v>
      </c>
      <c r="H54" s="83">
        <f>G54*(1+'Raw Data'!G56)</f>
        <v>8550.2656511999994</v>
      </c>
      <c r="I54" s="83">
        <f>H54*(1+'Raw Data'!H56)</f>
        <v>8610.1175107583986</v>
      </c>
      <c r="J54" s="83">
        <f>I54*(1+'Raw Data'!I56)</f>
        <v>9617.501259517132</v>
      </c>
      <c r="K54" s="83">
        <f>J54*(1+'Raw Data'!J56)</f>
        <v>11550.619012680076</v>
      </c>
      <c r="L54" s="83">
        <f>K54*(1+'Raw Data'!K56)</f>
        <v>12058.846249237999</v>
      </c>
      <c r="M54" s="83">
        <f>L54*(1+'Raw Data'!L56)</f>
        <v>14555.027422830266</v>
      </c>
      <c r="N54" s="83">
        <f>M54*(1+'Raw Data'!M56)</f>
        <v>10625.170018666095</v>
      </c>
      <c r="O54" s="93"/>
      <c r="P54" s="95"/>
    </row>
    <row r="55" spans="1:16">
      <c r="A55" s="74"/>
      <c r="B55" s="68"/>
      <c r="C55" s="89">
        <f t="shared" si="1"/>
        <v>49</v>
      </c>
      <c r="D55" s="83">
        <f t="shared" si="2"/>
        <v>10000</v>
      </c>
      <c r="E55" s="83">
        <f>D55*(1+'Raw Data'!D57)</f>
        <v>15209.999999999998</v>
      </c>
      <c r="F55" s="83">
        <f>E55*(1+'Raw Data'!E57)</f>
        <v>19271.069999999996</v>
      </c>
      <c r="G55" s="83">
        <f>F55*(1+'Raw Data'!F57)</f>
        <v>23260.181489999995</v>
      </c>
      <c r="H55" s="83">
        <f>G55*(1+'Raw Data'!G57)</f>
        <v>26446.826354129997</v>
      </c>
      <c r="I55" s="83">
        <f>H55*(1+'Raw Data'!H57)</f>
        <v>20575.630903513138</v>
      </c>
      <c r="J55" s="83">
        <f>I55*(1+'Raw Data'!I57)</f>
        <v>16563.382877328077</v>
      </c>
      <c r="K55" s="83">
        <f>J55*(1+'Raw Data'!J57)</f>
        <v>11991.889203185527</v>
      </c>
      <c r="L55" s="83">
        <f>K55*(1+'Raw Data'!K57)</f>
        <v>11596.156859480405</v>
      </c>
      <c r="M55" s="83">
        <f>L55*(1+'Raw Data'!L57)</f>
        <v>12361.503212206113</v>
      </c>
      <c r="N55" s="83">
        <f>M55*(1+'Raw Data'!M57)</f>
        <v>11422.028968078448</v>
      </c>
      <c r="O55" s="93"/>
      <c r="P55" s="95"/>
    </row>
    <row r="56" spans="1:16">
      <c r="A56" s="74"/>
      <c r="B56" s="68"/>
      <c r="C56" s="89">
        <f t="shared" si="1"/>
        <v>50</v>
      </c>
      <c r="D56" s="83">
        <f t="shared" si="2"/>
        <v>10000</v>
      </c>
      <c r="E56" s="83">
        <f>D56*(1+'Raw Data'!D58)</f>
        <v>11330</v>
      </c>
      <c r="F56" s="83">
        <f>E56*(1+'Raw Data'!E58)</f>
        <v>8690.11</v>
      </c>
      <c r="G56" s="83">
        <f>F56*(1+'Raw Data'!F58)</f>
        <v>14234.400180000001</v>
      </c>
      <c r="H56" s="83">
        <f>G56*(1+'Raw Data'!G58)</f>
        <v>18433.548233099998</v>
      </c>
      <c r="I56" s="83">
        <f>H56*(1+'Raw Data'!H58)</f>
        <v>22581.096585547501</v>
      </c>
      <c r="J56" s="83">
        <f>I56*(1+'Raw Data'!I58)</f>
        <v>27955.397572907805</v>
      </c>
      <c r="K56" s="83">
        <f>J56*(1+'Raw Data'!J58)</f>
        <v>34049.674243801703</v>
      </c>
      <c r="L56" s="83">
        <f>K56*(1+'Raw Data'!K58)</f>
        <v>26626.845258652931</v>
      </c>
      <c r="M56" s="83">
        <f>L56*(1+'Raw Data'!L58)</f>
        <v>25748.159365117383</v>
      </c>
      <c r="N56" s="83">
        <f>M56*(1+'Raw Data'!M58)</f>
        <v>28528.960576550064</v>
      </c>
      <c r="O56" s="93"/>
      <c r="P56" s="95"/>
    </row>
    <row r="57" spans="1:16">
      <c r="A57" s="74"/>
      <c r="B57" s="68"/>
      <c r="C57" s="89">
        <f t="shared" si="1"/>
        <v>51</v>
      </c>
      <c r="D57" s="83">
        <f t="shared" si="2"/>
        <v>10000</v>
      </c>
      <c r="E57" s="83">
        <f>D57*(1+'Raw Data'!D59)</f>
        <v>14500</v>
      </c>
      <c r="F57" s="83">
        <f>E57*(1+'Raw Data'!E59)</f>
        <v>14775.499999999998</v>
      </c>
      <c r="G57" s="83">
        <f>F57*(1+'Raw Data'!F59)</f>
        <v>14110.602499999997</v>
      </c>
      <c r="H57" s="83">
        <f>G57*(1+'Raw Data'!G59)</f>
        <v>14054.160089999998</v>
      </c>
      <c r="I57" s="83">
        <f>H57*(1+'Raw Data'!H59)</f>
        <v>11116.840631189998</v>
      </c>
      <c r="J57" s="83">
        <f>I57*(1+'Raw Data'!I59)</f>
        <v>10716.634368467157</v>
      </c>
      <c r="K57" s="83">
        <f>J57*(1+'Raw Data'!J59)</f>
        <v>17007.298742757379</v>
      </c>
      <c r="L57" s="83">
        <f>K57*(1+'Raw Data'!K59)</f>
        <v>17840.65638115249</v>
      </c>
      <c r="M57" s="83">
        <f>L57*(1+'Raw Data'!L59)</f>
        <v>19696.08464479235</v>
      </c>
      <c r="N57" s="83">
        <f>M57*(1+'Raw Data'!M59)</f>
        <v>21212.683162441361</v>
      </c>
      <c r="O57" s="93"/>
      <c r="P57" s="95"/>
    </row>
    <row r="58" spans="1:16">
      <c r="A58" s="74"/>
      <c r="B58" s="68"/>
      <c r="C58" s="89">
        <f t="shared" si="1"/>
        <v>52</v>
      </c>
      <c r="D58" s="83">
        <f t="shared" si="2"/>
        <v>10000</v>
      </c>
      <c r="E58" s="83">
        <f>D58*(1+'Raw Data'!D60)</f>
        <v>9330</v>
      </c>
      <c r="F58" s="83">
        <f>E58*(1+'Raw Data'!E60)</f>
        <v>9423.2999999999993</v>
      </c>
      <c r="G58" s="83">
        <f>F58*(1+'Raw Data'!F60)</f>
        <v>10073.507699999998</v>
      </c>
      <c r="H58" s="83">
        <f>G58*(1+'Raw Data'!G60)</f>
        <v>8975.4953606999989</v>
      </c>
      <c r="I58" s="83">
        <f>H58*(1+'Raw Data'!H60)</f>
        <v>8957.5443699785992</v>
      </c>
      <c r="J58" s="83">
        <f>I58*(1+'Raw Data'!I60)</f>
        <v>8249.8983647502901</v>
      </c>
      <c r="K58" s="83">
        <f>J58*(1+'Raw Data'!J60)</f>
        <v>8959.3896241188158</v>
      </c>
      <c r="L58" s="83">
        <f>K58*(1+'Raw Data'!K60)</f>
        <v>9568.6281185588959</v>
      </c>
      <c r="M58" s="83">
        <f>L58*(1+'Raw Data'!L60)</f>
        <v>8602.196678584447</v>
      </c>
      <c r="N58" s="83">
        <f>M58*(1+'Raw Data'!M60)</f>
        <v>7251.6518000466885</v>
      </c>
      <c r="O58" s="93"/>
      <c r="P58" s="95"/>
    </row>
    <row r="59" spans="1:16">
      <c r="A59" s="74"/>
      <c r="B59" s="68"/>
      <c r="C59" s="89">
        <f t="shared" si="1"/>
        <v>53</v>
      </c>
      <c r="D59" s="83">
        <f t="shared" si="2"/>
        <v>10000</v>
      </c>
      <c r="E59" s="83">
        <f>D59*(1+'Raw Data'!D61)</f>
        <v>9910</v>
      </c>
      <c r="F59" s="83">
        <f>E59*(1+'Raw Data'!E61)</f>
        <v>7135.2</v>
      </c>
      <c r="G59" s="83">
        <f>F59*(1+'Raw Data'!F61)</f>
        <v>7627.5287999999991</v>
      </c>
      <c r="H59" s="83">
        <f>G59*(1+'Raw Data'!G61)</f>
        <v>7513.115867999999</v>
      </c>
      <c r="I59" s="83">
        <f>H59*(1+'Raw Data'!H61)</f>
        <v>11066.819673563998</v>
      </c>
      <c r="J59" s="83">
        <f>I59*(1+'Raw Data'!I61)</f>
        <v>14641.402428125168</v>
      </c>
      <c r="K59" s="83">
        <f>J59*(1+'Raw Data'!J61)</f>
        <v>16515.50193892519</v>
      </c>
      <c r="L59" s="83">
        <f>K59*(1+'Raw Data'!K61)</f>
        <v>16036.55238269636</v>
      </c>
      <c r="M59" s="83">
        <f>L59*(1+'Raw Data'!L61)</f>
        <v>24680.2541169697</v>
      </c>
      <c r="N59" s="83">
        <f>M59*(1+'Raw Data'!M61)</f>
        <v>20040.366342979396</v>
      </c>
      <c r="O59" s="93"/>
      <c r="P59" s="95"/>
    </row>
    <row r="60" spans="1:16">
      <c r="A60" s="74"/>
      <c r="B60" s="68"/>
      <c r="C60" s="89">
        <f t="shared" si="1"/>
        <v>54</v>
      </c>
      <c r="D60" s="83">
        <f t="shared" si="2"/>
        <v>10000</v>
      </c>
      <c r="E60" s="83">
        <f>D60*(1+'Raw Data'!D62)</f>
        <v>9330</v>
      </c>
      <c r="F60" s="83">
        <f>E60*(1+'Raw Data'!E62)</f>
        <v>8686.23</v>
      </c>
      <c r="G60" s="83">
        <f>F60*(1+'Raw Data'!F62)</f>
        <v>9841.4985899999992</v>
      </c>
      <c r="H60" s="83">
        <f>G60*(1+'Raw Data'!G62)</f>
        <v>8522.7377789399998</v>
      </c>
      <c r="I60" s="83">
        <f>H60*(1+'Raw Data'!H62)</f>
        <v>8147.7373166666393</v>
      </c>
      <c r="J60" s="83">
        <f>I60*(1+'Raw Data'!I62)</f>
        <v>5964.1437157999799</v>
      </c>
      <c r="K60" s="83">
        <f>J60*(1+'Raw Data'!J62)</f>
        <v>6876.6577043173766</v>
      </c>
      <c r="L60" s="83">
        <f>K60*(1+'Raw Data'!K62)</f>
        <v>11002.652326907802</v>
      </c>
      <c r="M60" s="83">
        <f>L60*(1+'Raw Data'!L62)</f>
        <v>10474.525015216228</v>
      </c>
      <c r="N60" s="83">
        <f>M60*(1+'Raw Data'!M62)</f>
        <v>13753.051344978907</v>
      </c>
      <c r="O60" s="93"/>
      <c r="P60" s="95"/>
    </row>
    <row r="61" spans="1:16">
      <c r="A61" s="74"/>
      <c r="B61" s="68"/>
      <c r="C61" s="89">
        <f t="shared" si="1"/>
        <v>55</v>
      </c>
      <c r="D61" s="83">
        <f t="shared" si="2"/>
        <v>10000</v>
      </c>
      <c r="E61" s="83">
        <f>D61*(1+'Raw Data'!D63)</f>
        <v>9570</v>
      </c>
      <c r="F61" s="83">
        <f>E61*(1+'Raw Data'!E63)</f>
        <v>10708.83</v>
      </c>
      <c r="G61" s="83">
        <f>F61*(1+'Raw Data'!F63)</f>
        <v>11180.01852</v>
      </c>
      <c r="H61" s="83">
        <f>G61*(1+'Raw Data'!G63)</f>
        <v>11336.538779279999</v>
      </c>
      <c r="I61" s="83">
        <f>H61*(1+'Raw Data'!H63)</f>
        <v>12821.625359365678</v>
      </c>
      <c r="J61" s="83">
        <f>I61*(1+'Raw Data'!I63)</f>
        <v>11347.138443038626</v>
      </c>
      <c r="K61" s="83">
        <f>J61*(1+'Raw Data'!J63)</f>
        <v>9066.3636159878606</v>
      </c>
      <c r="L61" s="83">
        <f>K61*(1+'Raw Data'!K63)</f>
        <v>8603.9790715724794</v>
      </c>
      <c r="M61" s="83">
        <f>L61*(1+'Raw Data'!L63)</f>
        <v>11907.907035056311</v>
      </c>
      <c r="N61" s="83">
        <f>M61*(1+'Raw Data'!M63)</f>
        <v>10824.287494866187</v>
      </c>
      <c r="O61" s="93"/>
      <c r="P61" s="95"/>
    </row>
    <row r="62" spans="1:16">
      <c r="A62" s="74"/>
      <c r="B62" s="68"/>
      <c r="C62" s="89">
        <f t="shared" si="1"/>
        <v>56</v>
      </c>
      <c r="D62" s="83">
        <f t="shared" si="2"/>
        <v>10000</v>
      </c>
      <c r="E62" s="83">
        <f>D62*(1+'Raw Data'!D64)</f>
        <v>8380</v>
      </c>
      <c r="F62" s="83">
        <f>E62*(1+'Raw Data'!E64)</f>
        <v>11656.58</v>
      </c>
      <c r="G62" s="83">
        <f>F62*(1+'Raw Data'!F64)</f>
        <v>13778.07756</v>
      </c>
      <c r="H62" s="83">
        <f>G62*(1+'Raw Data'!G64)</f>
        <v>14921.657997479999</v>
      </c>
      <c r="I62" s="83">
        <f>H62*(1+'Raw Data'!H64)</f>
        <v>18860.97570881472</v>
      </c>
      <c r="J62" s="83">
        <f>I62*(1+'Raw Data'!I64)</f>
        <v>20784.795231113822</v>
      </c>
      <c r="K62" s="83">
        <f>J62*(1+'Raw Data'!J64)</f>
        <v>16316.06425642435</v>
      </c>
      <c r="L62" s="83">
        <f>K62*(1+'Raw Data'!K64)</f>
        <v>13216.012047703724</v>
      </c>
      <c r="M62" s="83">
        <f>L62*(1+'Raw Data'!L64)</f>
        <v>14352.589083806244</v>
      </c>
      <c r="N62" s="83">
        <f>M62*(1+'Raw Data'!M64)</f>
        <v>16017.48941752777</v>
      </c>
      <c r="O62" s="93"/>
      <c r="P62" s="95"/>
    </row>
    <row r="63" spans="1:16">
      <c r="A63" s="74"/>
      <c r="B63" s="68"/>
      <c r="C63" s="89">
        <f t="shared" si="1"/>
        <v>57</v>
      </c>
      <c r="D63" s="83">
        <f t="shared" si="2"/>
        <v>10000</v>
      </c>
      <c r="E63" s="83">
        <f>D63*(1+'Raw Data'!D65)</f>
        <v>8660</v>
      </c>
      <c r="F63" s="83">
        <f>E63*(1+'Raw Data'!E65)</f>
        <v>10530.56</v>
      </c>
      <c r="G63" s="83">
        <f>F63*(1+'Raw Data'!F65)</f>
        <v>15353.556479999999</v>
      </c>
      <c r="H63" s="83">
        <f>G63*(1+'Raw Data'!G65)</f>
        <v>10747.489535999999</v>
      </c>
      <c r="I63" s="83">
        <f>H63*(1+'Raw Data'!H65)</f>
        <v>10801.226983679999</v>
      </c>
      <c r="J63" s="83">
        <f>I63*(1+'Raw Data'!I65)</f>
        <v>11859.74722808064</v>
      </c>
      <c r="K63" s="83">
        <f>J63*(1+'Raw Data'!J65)</f>
        <v>8989.6883988851241</v>
      </c>
      <c r="L63" s="83">
        <f>K63*(1+'Raw Data'!K65)</f>
        <v>12073.151519702722</v>
      </c>
      <c r="M63" s="83">
        <f>L63*(1+'Raw Data'!L65)</f>
        <v>11892.054246907181</v>
      </c>
      <c r="N63" s="83">
        <f>M63*(1+'Raw Data'!M65)</f>
        <v>12926.662966388105</v>
      </c>
      <c r="O63" s="93"/>
      <c r="P63" s="95"/>
    </row>
    <row r="64" spans="1:16">
      <c r="A64" s="74"/>
      <c r="B64" s="68"/>
      <c r="C64" s="89">
        <f t="shared" si="1"/>
        <v>58</v>
      </c>
      <c r="D64" s="83">
        <f t="shared" si="2"/>
        <v>10000</v>
      </c>
      <c r="E64" s="83">
        <f>D64*(1+'Raw Data'!D66)</f>
        <v>12750</v>
      </c>
      <c r="F64" s="83">
        <f>E64*(1+'Raw Data'!E66)</f>
        <v>11742.75</v>
      </c>
      <c r="G64" s="83">
        <f>F64*(1+'Raw Data'!F66)</f>
        <v>10533.24675</v>
      </c>
      <c r="H64" s="83">
        <f>G64*(1+'Raw Data'!G66)</f>
        <v>11228.4410355</v>
      </c>
      <c r="I64" s="83">
        <f>H64*(1+'Raw Data'!H66)</f>
        <v>10476.1354861215</v>
      </c>
      <c r="J64" s="83">
        <f>I64*(1+'Raw Data'!I66)</f>
        <v>11796.128557372809</v>
      </c>
      <c r="K64" s="83">
        <f>J64*(1+'Raw Data'!J66)</f>
        <v>12669.042070618398</v>
      </c>
      <c r="L64" s="83">
        <f>K64*(1+'Raw Data'!K66)</f>
        <v>12846.408659607056</v>
      </c>
      <c r="M64" s="83">
        <f>L64*(1+'Raw Data'!L66)</f>
        <v>15171.608626995934</v>
      </c>
      <c r="N64" s="83">
        <f>M64*(1+'Raw Data'!M66)</f>
        <v>16552.225012052564</v>
      </c>
      <c r="O64" s="93"/>
      <c r="P64" s="95"/>
    </row>
    <row r="65" spans="1:16">
      <c r="A65" s="74"/>
      <c r="B65" s="68"/>
      <c r="C65" s="89">
        <f t="shared" si="1"/>
        <v>59</v>
      </c>
      <c r="D65" s="83">
        <f t="shared" si="2"/>
        <v>10000</v>
      </c>
      <c r="E65" s="83">
        <f>D65*(1+'Raw Data'!D67)</f>
        <v>12540</v>
      </c>
      <c r="F65" s="83">
        <f>E65*(1+'Raw Data'!E67)</f>
        <v>14922.599999999999</v>
      </c>
      <c r="G65" s="83">
        <f>F65*(1+'Raw Data'!F67)</f>
        <v>13057.274999999998</v>
      </c>
      <c r="H65" s="83">
        <f>G65*(1+'Raw Data'!G67)</f>
        <v>13187.847749999997</v>
      </c>
      <c r="I65" s="83">
        <f>H65*(1+'Raw Data'!H67)</f>
        <v>13491.168248249996</v>
      </c>
      <c r="J65" s="83">
        <f>I65*(1+'Raw Data'!I67)</f>
        <v>13464.185911753497</v>
      </c>
      <c r="K65" s="83">
        <f>J65*(1+'Raw Data'!J67)</f>
        <v>13087.188706224399</v>
      </c>
      <c r="L65" s="83">
        <f>K65*(1+'Raw Data'!K67)</f>
        <v>11856.992967839305</v>
      </c>
      <c r="M65" s="83">
        <f>L65*(1+'Raw Data'!L67)</f>
        <v>15757.943654258437</v>
      </c>
      <c r="N65" s="83">
        <f>M65*(1+'Raw Data'!M67)</f>
        <v>11408.751205683107</v>
      </c>
      <c r="O65" s="93"/>
      <c r="P65" s="95"/>
    </row>
    <row r="66" spans="1:16">
      <c r="A66" s="74"/>
      <c r="B66" s="68"/>
      <c r="C66" s="89">
        <f t="shared" si="1"/>
        <v>60</v>
      </c>
      <c r="D66" s="83">
        <f t="shared" si="2"/>
        <v>10000</v>
      </c>
      <c r="E66" s="83">
        <f>D66*(1+'Raw Data'!D68)</f>
        <v>12160</v>
      </c>
      <c r="F66" s="83">
        <f>E66*(1+'Raw Data'!E68)</f>
        <v>11697.92</v>
      </c>
      <c r="G66" s="83">
        <f>F66*(1+'Raw Data'!F68)</f>
        <v>13733.35808</v>
      </c>
      <c r="H66" s="83">
        <f>G66*(1+'Raw Data'!G68)</f>
        <v>17235.364390399998</v>
      </c>
      <c r="I66" s="83">
        <f>H66*(1+'Raw Data'!H68)</f>
        <v>15236.062121113599</v>
      </c>
      <c r="J66" s="83">
        <f>I66*(1+'Raw Data'!I68)</f>
        <v>17673.832060491772</v>
      </c>
      <c r="K66" s="83">
        <f>J66*(1+'Raw Data'!J68)</f>
        <v>23099.698503062744</v>
      </c>
      <c r="L66" s="83">
        <f>K66*(1+'Raw Data'!K68)</f>
        <v>23469.293679111746</v>
      </c>
      <c r="M66" s="83">
        <f>L66*(1+'Raw Data'!L68)</f>
        <v>15700.957471325759</v>
      </c>
      <c r="N66" s="83">
        <f>M66*(1+'Raw Data'!M68)</f>
        <v>18982.457582832845</v>
      </c>
      <c r="O66" s="93"/>
      <c r="P66" s="95"/>
    </row>
    <row r="67" spans="1:16">
      <c r="A67" s="74"/>
      <c r="B67" s="68"/>
      <c r="C67" s="89">
        <f t="shared" si="1"/>
        <v>61</v>
      </c>
      <c r="D67" s="83">
        <f t="shared" si="2"/>
        <v>10000</v>
      </c>
      <c r="E67" s="83">
        <f>D67*(1+'Raw Data'!D69)</f>
        <v>13170</v>
      </c>
      <c r="F67" s="83">
        <f>E67*(1+'Raw Data'!E69)</f>
        <v>12445.65</v>
      </c>
      <c r="G67" s="83">
        <f>F67*(1+'Raw Data'!F69)</f>
        <v>11039.29155</v>
      </c>
      <c r="H67" s="83">
        <f>G67*(1+'Raw Data'!G69)</f>
        <v>14240.686099500001</v>
      </c>
      <c r="I67" s="83">
        <f>H67*(1+'Raw Data'!H69)</f>
        <v>13955.872377510001</v>
      </c>
      <c r="J67" s="83">
        <f>I67*(1+'Raw Data'!I69)</f>
        <v>13718.622547092331</v>
      </c>
      <c r="K67" s="83">
        <f>J67*(1+'Raw Data'!J69)</f>
        <v>16133.100115380581</v>
      </c>
      <c r="L67" s="83">
        <f>K67*(1+'Raw Data'!K69)</f>
        <v>18391.734131533864</v>
      </c>
      <c r="M67" s="83">
        <f>L67*(1+'Raw Data'!L69)</f>
        <v>19881.464596188107</v>
      </c>
      <c r="N67" s="83">
        <f>M67*(1+'Raw Data'!M69)</f>
        <v>28569.664624722311</v>
      </c>
      <c r="O67" s="93"/>
      <c r="P67" s="95"/>
    </row>
    <row r="68" spans="1:16">
      <c r="A68" s="74"/>
      <c r="B68" s="68"/>
      <c r="C68" s="89">
        <f t="shared" si="1"/>
        <v>62</v>
      </c>
      <c r="D68" s="83">
        <f t="shared" si="2"/>
        <v>10000</v>
      </c>
      <c r="E68" s="83">
        <f>D68*(1+'Raw Data'!D70)</f>
        <v>9930</v>
      </c>
      <c r="F68" s="83">
        <f>E68*(1+'Raw Data'!E70)</f>
        <v>9314.34</v>
      </c>
      <c r="G68" s="83">
        <f>F68*(1+'Raw Data'!F70)</f>
        <v>6156.7787400000007</v>
      </c>
      <c r="H68" s="83">
        <f>G68*(1+'Raw Data'!G70)</f>
        <v>5128.5966904200004</v>
      </c>
      <c r="I68" s="83">
        <f>H68*(1+'Raw Data'!H70)</f>
        <v>5041.4105466828605</v>
      </c>
      <c r="J68" s="83">
        <f>I68*(1+'Raw Data'!I70)</f>
        <v>3912.1345842258997</v>
      </c>
      <c r="K68" s="83">
        <f>J68*(1+'Raw Data'!J70)</f>
        <v>3094.498456122687</v>
      </c>
      <c r="L68" s="83">
        <f>K68*(1+'Raw Data'!K70)</f>
        <v>2945.9625302287977</v>
      </c>
      <c r="M68" s="83">
        <f>L68*(1+'Raw Data'!L70)</f>
        <v>4035.9686664134533</v>
      </c>
      <c r="N68" s="83">
        <f>M68*(1+'Raw Data'!M70)</f>
        <v>3721.1631104332041</v>
      </c>
      <c r="O68" s="93"/>
      <c r="P68" s="95"/>
    </row>
    <row r="69" spans="1:16">
      <c r="A69" s="74"/>
      <c r="B69" s="68"/>
      <c r="C69" s="89">
        <f t="shared" si="1"/>
        <v>63</v>
      </c>
      <c r="D69" s="83">
        <f t="shared" si="2"/>
        <v>10000</v>
      </c>
      <c r="E69" s="83">
        <f>D69*(1+'Raw Data'!D71)</f>
        <v>8390</v>
      </c>
      <c r="F69" s="83">
        <f>E69*(1+'Raw Data'!E71)</f>
        <v>9749.1799999999985</v>
      </c>
      <c r="G69" s="83">
        <f>F69*(1+'Raw Data'!F71)</f>
        <v>11806.256979999998</v>
      </c>
      <c r="H69" s="83">
        <f>G69*(1+'Raw Data'!G71)</f>
        <v>12585.469940679999</v>
      </c>
      <c r="I69" s="83">
        <f>H69*(1+'Raw Data'!H71)</f>
        <v>10836.08961892548</v>
      </c>
      <c r="J69" s="83">
        <f>I69*(1+'Raw Data'!I71)</f>
        <v>14368.654834695188</v>
      </c>
      <c r="K69" s="83">
        <f>J69*(1+'Raw Data'!J71)</f>
        <v>15302.617398950375</v>
      </c>
      <c r="L69" s="83">
        <f>K69*(1+'Raw Data'!K71)</f>
        <v>16588.037260462206</v>
      </c>
      <c r="M69" s="83">
        <f>L69*(1+'Raw Data'!L71)</f>
        <v>17500.379309787626</v>
      </c>
      <c r="N69" s="83">
        <f>M69*(1+'Raw Data'!M71)</f>
        <v>16362.854654651432</v>
      </c>
      <c r="O69" s="93"/>
      <c r="P69" s="95"/>
    </row>
    <row r="70" spans="1:16">
      <c r="A70" s="74"/>
      <c r="B70" s="68"/>
      <c r="C70" s="89">
        <f t="shared" si="1"/>
        <v>64</v>
      </c>
      <c r="D70" s="83">
        <f t="shared" si="2"/>
        <v>10000</v>
      </c>
      <c r="E70" s="83">
        <f>D70*(1+'Raw Data'!D72)</f>
        <v>12090</v>
      </c>
      <c r="F70" s="83">
        <f>E70*(1+'Raw Data'!E72)</f>
        <v>12476.880000000001</v>
      </c>
      <c r="G70" s="83">
        <f>F70*(1+'Raw Data'!F72)</f>
        <v>11965.32792</v>
      </c>
      <c r="H70" s="83">
        <f>G70*(1+'Raw Data'!G72)</f>
        <v>13317.409974959999</v>
      </c>
      <c r="I70" s="83">
        <f>H70*(1+'Raw Data'!H72)</f>
        <v>11972.351567489039</v>
      </c>
      <c r="J70" s="83">
        <f>I70*(1+'Raw Data'!I72)</f>
        <v>12247.715653541285</v>
      </c>
      <c r="K70" s="83">
        <f>J70*(1+'Raw Data'!J72)</f>
        <v>16044.507506139083</v>
      </c>
      <c r="L70" s="83">
        <f>K70*(1+'Raw Data'!K72)</f>
        <v>20007.500860155436</v>
      </c>
      <c r="M70" s="83">
        <f>L70*(1+'Raw Data'!L72)</f>
        <v>27190.193668951237</v>
      </c>
      <c r="N70" s="83">
        <f>M70*(1+'Raw Data'!M72)</f>
        <v>23030.094037601695</v>
      </c>
      <c r="O70" s="93"/>
      <c r="P70" s="95"/>
    </row>
    <row r="71" spans="1:16">
      <c r="A71" s="74"/>
      <c r="B71" s="68"/>
      <c r="C71" s="89">
        <f t="shared" si="1"/>
        <v>65</v>
      </c>
      <c r="D71" s="83">
        <f t="shared" ref="D71:D106" si="3">StartAssetValue</f>
        <v>10000</v>
      </c>
      <c r="E71" s="83">
        <f>D71*(1+'Raw Data'!D73)</f>
        <v>12080</v>
      </c>
      <c r="F71" s="83">
        <f>E71*(1+'Raw Data'!E73)</f>
        <v>13288.000000000002</v>
      </c>
      <c r="G71" s="83">
        <f>F71*(1+'Raw Data'!F73)</f>
        <v>14643.376000000004</v>
      </c>
      <c r="H71" s="83">
        <f>G71*(1+'Raw Data'!G73)</f>
        <v>12578.659984000004</v>
      </c>
      <c r="I71" s="83">
        <f>H71*(1+'Raw Data'!H73)</f>
        <v>14867.976101088003</v>
      </c>
      <c r="J71" s="83">
        <f>I71*(1+'Raw Data'!I73)</f>
        <v>10318.375414155073</v>
      </c>
      <c r="K71" s="83">
        <f>J71*(1+'Raw Data'!J73)</f>
        <v>11061.298443974238</v>
      </c>
      <c r="L71" s="83">
        <f>K71*(1+'Raw Data'!K73)</f>
        <v>8506.1385034161885</v>
      </c>
      <c r="M71" s="83">
        <f>L71*(1+'Raw Data'!L73)</f>
        <v>9305.7155227373114</v>
      </c>
      <c r="N71" s="83">
        <f>M71*(1+'Raw Data'!M73)</f>
        <v>9128.906927805303</v>
      </c>
      <c r="O71" s="93"/>
      <c r="P71" s="95"/>
    </row>
    <row r="72" spans="1:16">
      <c r="A72" s="74"/>
      <c r="B72" s="68"/>
      <c r="C72" s="89">
        <f t="shared" si="1"/>
        <v>66</v>
      </c>
      <c r="D72" s="83">
        <f t="shared" si="3"/>
        <v>10000</v>
      </c>
      <c r="E72" s="83">
        <f>D72*(1+'Raw Data'!D74)</f>
        <v>11360.000000000002</v>
      </c>
      <c r="F72" s="83">
        <f>E72*(1+'Raw Data'!E74)</f>
        <v>8724.4800000000014</v>
      </c>
      <c r="G72" s="83">
        <f>F72*(1+'Raw Data'!F74)</f>
        <v>8105.0419200000015</v>
      </c>
      <c r="H72" s="83">
        <f>G72*(1+'Raw Data'!G74)</f>
        <v>9369.4284595200006</v>
      </c>
      <c r="I72" s="83">
        <f>H72*(1+'Raw Data'!H74)</f>
        <v>10653.040158474241</v>
      </c>
      <c r="J72" s="83">
        <f>I72*(1+'Raw Data'!I74)</f>
        <v>9193.5736567632703</v>
      </c>
      <c r="K72" s="83">
        <f>J72*(1+'Raw Data'!J74)</f>
        <v>10379.544658485733</v>
      </c>
      <c r="L72" s="83">
        <f>K72*(1+'Raw Data'!K74)</f>
        <v>10244.610577925418</v>
      </c>
      <c r="M72" s="83">
        <f>L72*(1+'Raw Data'!L74)</f>
        <v>8953.7896451068154</v>
      </c>
      <c r="N72" s="83">
        <f>M72*(1+'Raw Data'!M74)</f>
        <v>13967.911846366633</v>
      </c>
      <c r="O72" s="93"/>
      <c r="P72" s="95"/>
    </row>
    <row r="73" spans="1:16">
      <c r="A73" s="74"/>
      <c r="B73" s="68"/>
      <c r="C73" s="89">
        <f t="shared" ref="C73:C106" si="4">C72+1</f>
        <v>67</v>
      </c>
      <c r="D73" s="83">
        <f t="shared" si="3"/>
        <v>10000</v>
      </c>
      <c r="E73" s="83">
        <f>D73*(1+'Raw Data'!D75)</f>
        <v>11400.000000000002</v>
      </c>
      <c r="F73" s="83">
        <f>E73*(1+'Raw Data'!E75)</f>
        <v>13828.200000000003</v>
      </c>
      <c r="G73" s="83">
        <f>F73*(1+'Raw Data'!F75)</f>
        <v>14657.892000000003</v>
      </c>
      <c r="H73" s="83">
        <f>G73*(1+'Raw Data'!G75)</f>
        <v>17838.654564000004</v>
      </c>
      <c r="I73" s="83">
        <f>H73*(1+'Raw Data'!H75)</f>
        <v>19051.683074352004</v>
      </c>
      <c r="J73" s="83">
        <f>I73*(1+'Raw Data'!I75)</f>
        <v>20404.352572630996</v>
      </c>
      <c r="K73" s="83">
        <f>J73*(1+'Raw Data'!J75)</f>
        <v>24526.031792302456</v>
      </c>
      <c r="L73" s="83">
        <f>K73*(1+'Raw Data'!K75)</f>
        <v>22024.376549487606</v>
      </c>
      <c r="M73" s="83">
        <f>L73*(1+'Raw Data'!L75)</f>
        <v>18500.47630156959</v>
      </c>
      <c r="N73" s="83">
        <f>M73*(1+'Raw Data'!M75)</f>
        <v>21682.558225439559</v>
      </c>
      <c r="O73" s="93"/>
      <c r="P73" s="95"/>
    </row>
    <row r="74" spans="1:16">
      <c r="A74" s="74"/>
      <c r="B74" s="68"/>
      <c r="C74" s="89">
        <f t="shared" si="4"/>
        <v>68</v>
      </c>
      <c r="D74" s="83">
        <f t="shared" si="3"/>
        <v>10000</v>
      </c>
      <c r="E74" s="83">
        <f>D74*(1+'Raw Data'!D76)</f>
        <v>8630</v>
      </c>
      <c r="F74" s="83">
        <f>E74*(1+'Raw Data'!E76)</f>
        <v>9380.81</v>
      </c>
      <c r="G74" s="83">
        <f>F74*(1+'Raw Data'!F76)</f>
        <v>9784.1848299999983</v>
      </c>
      <c r="H74" s="83">
        <f>G74*(1+'Raw Data'!G76)</f>
        <v>12288.936146479999</v>
      </c>
      <c r="I74" s="83">
        <f>H74*(1+'Raw Data'!H76)</f>
        <v>9769.7042364516001</v>
      </c>
      <c r="J74" s="83">
        <f>I74*(1+'Raw Data'!I76)</f>
        <v>10541.510871131277</v>
      </c>
      <c r="K74" s="83">
        <f>J74*(1+'Raw Data'!J76)</f>
        <v>8528.0822947452016</v>
      </c>
      <c r="L74" s="83">
        <f>K74*(1+'Raw Data'!K76)</f>
        <v>10608.934374663031</v>
      </c>
      <c r="M74" s="83">
        <f>L74*(1+'Raw Data'!L76)</f>
        <v>14650.938371409646</v>
      </c>
      <c r="N74" s="83">
        <f>M74*(1+'Raw Data'!M76)</f>
        <v>16892.53194223532</v>
      </c>
      <c r="O74" s="93"/>
      <c r="P74" s="95"/>
    </row>
    <row r="75" spans="1:16">
      <c r="A75" s="74"/>
      <c r="B75" s="68"/>
      <c r="C75" s="89">
        <f t="shared" si="4"/>
        <v>69</v>
      </c>
      <c r="D75" s="83">
        <f t="shared" si="3"/>
        <v>10000</v>
      </c>
      <c r="E75" s="83">
        <f>D75*(1+'Raw Data'!D77)</f>
        <v>9590</v>
      </c>
      <c r="F75" s="83">
        <f>E75*(1+'Raw Data'!E77)</f>
        <v>14902.86</v>
      </c>
      <c r="G75" s="83">
        <f>F75*(1+'Raw Data'!F77)</f>
        <v>15171.111480000001</v>
      </c>
      <c r="H75" s="83">
        <f>G75*(1+'Raw Data'!G77)</f>
        <v>22073.967203400003</v>
      </c>
      <c r="I75" s="83">
        <f>H75*(1+'Raw Data'!H77)</f>
        <v>22625.816383485002</v>
      </c>
      <c r="J75" s="83">
        <f>I75*(1+'Raw Data'!I77)</f>
        <v>24073.868632028043</v>
      </c>
      <c r="K75" s="83">
        <f>J75*(1+'Raw Data'!J77)</f>
        <v>29971.966446874918</v>
      </c>
      <c r="L75" s="83">
        <f>K75*(1+'Raw Data'!K77)</f>
        <v>20590.74094900307</v>
      </c>
      <c r="M75" s="83">
        <f>L75*(1+'Raw Data'!L77)</f>
        <v>19478.840937756904</v>
      </c>
      <c r="N75" s="83">
        <f>M75*(1+'Raw Data'!M77)</f>
        <v>17355.647275541403</v>
      </c>
      <c r="O75" s="93"/>
      <c r="P75" s="95"/>
    </row>
    <row r="76" spans="1:16">
      <c r="A76" s="74"/>
      <c r="B76" s="68"/>
      <c r="C76" s="89">
        <f t="shared" si="4"/>
        <v>70</v>
      </c>
      <c r="D76" s="83">
        <f t="shared" si="3"/>
        <v>10000</v>
      </c>
      <c r="E76" s="83">
        <f>D76*(1+'Raw Data'!D78)</f>
        <v>9080</v>
      </c>
      <c r="F76" s="83">
        <f>E76*(1+'Raw Data'!E78)</f>
        <v>7236.7599999999993</v>
      </c>
      <c r="G76" s="83">
        <f>F76*(1+'Raw Data'!F78)</f>
        <v>6491.3737199999996</v>
      </c>
      <c r="H76" s="83">
        <f>G76*(1+'Raw Data'!G78)</f>
        <v>9503.3711260799992</v>
      </c>
      <c r="I76" s="83">
        <f>H76*(1+'Raw Data'!H78)</f>
        <v>9313.3037035583984</v>
      </c>
      <c r="J76" s="83">
        <f>I76*(1+'Raw Data'!I78)</f>
        <v>9490.2564739260069</v>
      </c>
      <c r="K76" s="83">
        <f>J76*(1+'Raw Data'!J78)</f>
        <v>13637.498553031672</v>
      </c>
      <c r="L76" s="83">
        <f>K76*(1+'Raw Data'!K78)</f>
        <v>11346.39879612235</v>
      </c>
      <c r="M76" s="83">
        <f>L76*(1+'Raw Data'!L78)</f>
        <v>13922.031322842126</v>
      </c>
      <c r="N76" s="83">
        <f>M76*(1+'Raw Data'!M78)</f>
        <v>14075.173667393388</v>
      </c>
      <c r="O76" s="93"/>
      <c r="P76" s="95"/>
    </row>
    <row r="77" spans="1:16">
      <c r="A77" s="74"/>
      <c r="B77" s="68"/>
      <c r="C77" s="89">
        <f t="shared" si="4"/>
        <v>71</v>
      </c>
      <c r="D77" s="83">
        <f t="shared" si="3"/>
        <v>10000</v>
      </c>
      <c r="E77" s="83">
        <f>D77*(1+'Raw Data'!D79)</f>
        <v>11910</v>
      </c>
      <c r="F77" s="83">
        <f>E77*(1+'Raw Data'!E79)</f>
        <v>10635.630000000001</v>
      </c>
      <c r="G77" s="83">
        <f>F77*(1+'Raw Data'!F79)</f>
        <v>11731.099890000001</v>
      </c>
      <c r="H77" s="83">
        <f>G77*(1+'Raw Data'!G79)</f>
        <v>12810.361079880002</v>
      </c>
      <c r="I77" s="83">
        <f>H77*(1+'Raw Data'!H79)</f>
        <v>12605.395302601921</v>
      </c>
      <c r="J77" s="83">
        <f>I77*(1+'Raw Data'!I79)</f>
        <v>9668.3381970956743</v>
      </c>
      <c r="K77" s="83">
        <f>J77*(1+'Raw Data'!J79)</f>
        <v>13796.718607255527</v>
      </c>
      <c r="L77" s="83">
        <f>K77*(1+'Raw Data'!K79)</f>
        <v>10802.830669481078</v>
      </c>
      <c r="M77" s="83">
        <f>L77*(1+'Raw Data'!L79)</f>
        <v>11396.986356302537</v>
      </c>
      <c r="N77" s="83">
        <f>M77*(1+'Raw Data'!M79)</f>
        <v>7191.4983908269014</v>
      </c>
      <c r="O77" s="93"/>
      <c r="P77" s="95"/>
    </row>
    <row r="78" spans="1:16">
      <c r="A78" s="74"/>
      <c r="B78" s="68"/>
      <c r="C78" s="89">
        <f t="shared" si="4"/>
        <v>72</v>
      </c>
      <c r="D78" s="83">
        <f t="shared" si="3"/>
        <v>10000</v>
      </c>
      <c r="E78" s="83">
        <f>D78*(1+'Raw Data'!D80)</f>
        <v>11570</v>
      </c>
      <c r="F78" s="83">
        <f>E78*(1+'Raw Data'!E80)</f>
        <v>12426.18</v>
      </c>
      <c r="G78" s="83">
        <f>F78*(1+'Raw Data'!F80)</f>
        <v>13917.321600000001</v>
      </c>
      <c r="H78" s="83">
        <f>G78*(1+'Raw Data'!G80)</f>
        <v>16366.7702016</v>
      </c>
      <c r="I78" s="83">
        <f>H78*(1+'Raw Data'!H80)</f>
        <v>17512.444115712002</v>
      </c>
      <c r="J78" s="83">
        <f>I78*(1+'Raw Data'!I80)</f>
        <v>24534.934206112513</v>
      </c>
      <c r="K78" s="83">
        <f>J78*(1+'Raw Data'!J80)</f>
        <v>21836.091443440138</v>
      </c>
      <c r="L78" s="83">
        <f>K78*(1+'Raw Data'!K80)</f>
        <v>30330.331014938354</v>
      </c>
      <c r="M78" s="83">
        <f>L78*(1+'Raw Data'!L80)</f>
        <v>34000.301067745895</v>
      </c>
      <c r="N78" s="83">
        <f>M78*(1+'Raw Data'!M80)</f>
        <v>45356.401624373029</v>
      </c>
      <c r="O78" s="93"/>
      <c r="P78" s="95"/>
    </row>
    <row r="79" spans="1:16">
      <c r="A79" s="74"/>
      <c r="B79" s="68"/>
      <c r="C79" s="89">
        <f t="shared" si="4"/>
        <v>73</v>
      </c>
      <c r="D79" s="83">
        <f t="shared" si="3"/>
        <v>10000</v>
      </c>
      <c r="E79" s="83">
        <f>D79*(1+'Raw Data'!D81)</f>
        <v>11690</v>
      </c>
      <c r="F79" s="83">
        <f>E79*(1+'Raw Data'!E81)</f>
        <v>13046.04</v>
      </c>
      <c r="G79" s="83">
        <f>F79*(1+'Raw Data'!F81)</f>
        <v>12902.53356</v>
      </c>
      <c r="H79" s="83">
        <f>G79*(1+'Raw Data'!G81)</f>
        <v>13508.952637319999</v>
      </c>
      <c r="I79" s="83">
        <f>H79*(1+'Raw Data'!H81)</f>
        <v>12347.182710510479</v>
      </c>
      <c r="J79" s="83">
        <f>I79*(1+'Raw Data'!I81)</f>
        <v>12063.197508168738</v>
      </c>
      <c r="K79" s="83">
        <f>J79*(1+'Raw Data'!J81)</f>
        <v>12087.323903185075</v>
      </c>
      <c r="L79" s="83">
        <f>K79*(1+'Raw Data'!K81)</f>
        <v>11579.656299251301</v>
      </c>
      <c r="M79" s="83">
        <f>L79*(1+'Raw Data'!L81)</f>
        <v>12529.188115789908</v>
      </c>
      <c r="N79" s="83">
        <f>M79*(1+'Raw Data'!M81)</f>
        <v>11764.907640726724</v>
      </c>
      <c r="O79" s="93"/>
      <c r="P79" s="95"/>
    </row>
    <row r="80" spans="1:16">
      <c r="A80" s="74"/>
      <c r="B80" s="68"/>
      <c r="C80" s="89">
        <f t="shared" si="4"/>
        <v>74</v>
      </c>
      <c r="D80" s="83">
        <f t="shared" si="3"/>
        <v>10000</v>
      </c>
      <c r="E80" s="83">
        <f>D80*(1+'Raw Data'!D82)</f>
        <v>8630</v>
      </c>
      <c r="F80" s="83">
        <f>E80*(1+'Raw Data'!E82)</f>
        <v>7810.1500000000005</v>
      </c>
      <c r="G80" s="83">
        <f>F80*(1+'Raw Data'!F82)</f>
        <v>7966.353000000001</v>
      </c>
      <c r="H80" s="83">
        <f>G80*(1+'Raw Data'!G82)</f>
        <v>7695.4969980000005</v>
      </c>
      <c r="I80" s="83">
        <f>H80*(1+'Raw Data'!H82)</f>
        <v>8580.4791527699999</v>
      </c>
      <c r="J80" s="83">
        <f>I80*(1+'Raw Data'!I82)</f>
        <v>9163.95173515836</v>
      </c>
      <c r="K80" s="83">
        <f>J80*(1+'Raw Data'!J82)</f>
        <v>10785.971192281389</v>
      </c>
      <c r="L80" s="83">
        <f>K80*(1+'Raw Data'!K82)</f>
        <v>14949.356072502007</v>
      </c>
      <c r="M80" s="83">
        <f>L80*(1+'Raw Data'!L82)</f>
        <v>12736.851373771709</v>
      </c>
      <c r="N80" s="83">
        <f>M80*(1+'Raw Data'!M82)</f>
        <v>12176.429913325754</v>
      </c>
      <c r="O80" s="93"/>
      <c r="P80" s="95"/>
    </row>
    <row r="81" spans="1:16">
      <c r="A81" s="74"/>
      <c r="B81" s="68"/>
      <c r="C81" s="89">
        <f t="shared" si="4"/>
        <v>75</v>
      </c>
      <c r="D81" s="83">
        <f t="shared" si="3"/>
        <v>10000</v>
      </c>
      <c r="E81" s="83">
        <f>D81*(1+'Raw Data'!D83)</f>
        <v>8540</v>
      </c>
      <c r="F81" s="83">
        <f>E81*(1+'Raw Data'!E83)</f>
        <v>9462.3200000000015</v>
      </c>
      <c r="G81" s="83">
        <f>F81*(1+'Raw Data'!F83)</f>
        <v>7390.0719200000012</v>
      </c>
      <c r="H81" s="83">
        <f>G81*(1+'Raw Data'!G83)</f>
        <v>7050.1286116800011</v>
      </c>
      <c r="I81" s="83">
        <f>H81*(1+'Raw Data'!H83)</f>
        <v>5322.8471018184009</v>
      </c>
      <c r="J81" s="83">
        <f>I81*(1+'Raw Data'!I83)</f>
        <v>6877.1184555493746</v>
      </c>
      <c r="K81" s="83">
        <f>J81*(1+'Raw Data'!J83)</f>
        <v>5336.6439215063147</v>
      </c>
      <c r="L81" s="83">
        <f>K81*(1+'Raw Data'!K83)</f>
        <v>6852.2507952141086</v>
      </c>
      <c r="M81" s="83">
        <f>L81*(1+'Raw Data'!L83)</f>
        <v>5351.6078710622187</v>
      </c>
      <c r="N81" s="83">
        <f>M81*(1+'Raw Data'!M83)</f>
        <v>5447.9368127413391</v>
      </c>
      <c r="O81" s="93"/>
      <c r="P81" s="95"/>
    </row>
    <row r="82" spans="1:16">
      <c r="A82" s="74"/>
      <c r="B82" s="68"/>
      <c r="C82" s="89">
        <f t="shared" si="4"/>
        <v>76</v>
      </c>
      <c r="D82" s="83">
        <f t="shared" si="3"/>
        <v>10000</v>
      </c>
      <c r="E82" s="83">
        <f>D82*(1+'Raw Data'!D84)</f>
        <v>12030</v>
      </c>
      <c r="F82" s="83">
        <f>E82*(1+'Raw Data'!E84)</f>
        <v>15518.7</v>
      </c>
      <c r="G82" s="83">
        <f>F82*(1+'Raw Data'!F84)</f>
        <v>15860.111400000002</v>
      </c>
      <c r="H82" s="83">
        <f>G82*(1+'Raw Data'!G84)</f>
        <v>13179.752573400001</v>
      </c>
      <c r="I82" s="83">
        <f>H82*(1+'Raw Data'!H84)</f>
        <v>12810.7195013448</v>
      </c>
      <c r="J82" s="83">
        <f>I82*(1+'Raw Data'!I84)</f>
        <v>9736.1468210220482</v>
      </c>
      <c r="K82" s="83">
        <f>J82*(1+'Raw Data'!J84)</f>
        <v>10047.703519294753</v>
      </c>
      <c r="L82" s="83">
        <f>K82*(1+'Raw Data'!K84)</f>
        <v>9284.0780518283518</v>
      </c>
      <c r="M82" s="83">
        <f>L82*(1+'Raw Data'!L84)</f>
        <v>11335.859301282419</v>
      </c>
      <c r="N82" s="83">
        <f>M82*(1+'Raw Data'!M84)</f>
        <v>11868.644688442691</v>
      </c>
      <c r="O82" s="93"/>
      <c r="P82" s="95"/>
    </row>
    <row r="83" spans="1:16">
      <c r="A83" s="74"/>
      <c r="B83" s="68"/>
      <c r="C83" s="89">
        <f t="shared" si="4"/>
        <v>77</v>
      </c>
      <c r="D83" s="83">
        <f t="shared" si="3"/>
        <v>10000</v>
      </c>
      <c r="E83" s="83">
        <f>D83*(1+'Raw Data'!D85)</f>
        <v>11860</v>
      </c>
      <c r="F83" s="83">
        <f>E83*(1+'Raw Data'!E85)</f>
        <v>12488.58</v>
      </c>
      <c r="G83" s="83">
        <f>F83*(1+'Raw Data'!F85)</f>
        <v>13662.506520000001</v>
      </c>
      <c r="H83" s="83">
        <f>G83*(1+'Raw Data'!G85)</f>
        <v>16244.720252280002</v>
      </c>
      <c r="I83" s="83">
        <f>H83*(1+'Raw Data'!H85)</f>
        <v>18454.002206590085</v>
      </c>
      <c r="J83" s="83">
        <f>I83*(1+'Raw Data'!I85)</f>
        <v>23750.300839881438</v>
      </c>
      <c r="K83" s="83">
        <f>J83*(1+'Raw Data'!J85)</f>
        <v>29165.369431374405</v>
      </c>
      <c r="L83" s="83">
        <f>K83*(1+'Raw Data'!K85)</f>
        <v>31906.914157923602</v>
      </c>
      <c r="M83" s="83">
        <f>L83*(1+'Raw Data'!L85)</f>
        <v>22558.188309651989</v>
      </c>
      <c r="N83" s="83">
        <f>M83*(1+'Raw Data'!M85)</f>
        <v>28017.26988058777</v>
      </c>
      <c r="O83" s="93"/>
      <c r="P83" s="95"/>
    </row>
    <row r="84" spans="1:16">
      <c r="A84" s="74"/>
      <c r="B84" s="68"/>
      <c r="C84" s="89">
        <f t="shared" si="4"/>
        <v>78</v>
      </c>
      <c r="D84" s="83">
        <f t="shared" si="3"/>
        <v>10000</v>
      </c>
      <c r="E84" s="83">
        <f>D84*(1+'Raw Data'!D86)</f>
        <v>13030</v>
      </c>
      <c r="F84" s="83">
        <f>E84*(1+'Raw Data'!E86)</f>
        <v>12521.83</v>
      </c>
      <c r="G84" s="83">
        <f>F84*(1+'Raw Data'!F86)</f>
        <v>18795.266829999997</v>
      </c>
      <c r="H84" s="83">
        <f>G84*(1+'Raw Data'!G86)</f>
        <v>29959.655327019991</v>
      </c>
      <c r="I84" s="83">
        <f>H84*(1+'Raw Data'!H86)</f>
        <v>33434.975344954313</v>
      </c>
      <c r="J84" s="83">
        <f>I84*(1+'Raw Data'!I86)</f>
        <v>37012.517706864426</v>
      </c>
      <c r="K84" s="83">
        <f>J84*(1+'Raw Data'!J86)</f>
        <v>45340.334190908929</v>
      </c>
      <c r="L84" s="83">
        <f>K84*(1+'Raw Data'!K86)</f>
        <v>50191.749949336183</v>
      </c>
      <c r="M84" s="83">
        <f>L84*(1+'Raw Data'!L86)</f>
        <v>77646.637171623079</v>
      </c>
      <c r="N84" s="83">
        <f>M84*(1+'Raw Data'!M86)</f>
        <v>71667.846109408099</v>
      </c>
      <c r="O84" s="93"/>
      <c r="P84" s="95"/>
    </row>
    <row r="85" spans="1:16">
      <c r="A85" s="74"/>
      <c r="B85" s="68"/>
      <c r="C85" s="89">
        <f t="shared" si="4"/>
        <v>79</v>
      </c>
      <c r="D85" s="83">
        <f t="shared" si="3"/>
        <v>10000</v>
      </c>
      <c r="E85" s="83">
        <f>D85*(1+'Raw Data'!D87)</f>
        <v>14580</v>
      </c>
      <c r="F85" s="83">
        <f>E85*(1+'Raw Data'!E87)</f>
        <v>15148.619999999999</v>
      </c>
      <c r="G85" s="83">
        <f>F85*(1+'Raw Data'!F87)</f>
        <v>18693.397079999999</v>
      </c>
      <c r="H85" s="83">
        <f>G85*(1+'Raw Data'!G87)</f>
        <v>17534.406461039998</v>
      </c>
      <c r="I85" s="83">
        <f>H85*(1+'Raw Data'!H87)</f>
        <v>16850.564609059438</v>
      </c>
      <c r="J85" s="83">
        <f>I85*(1+'Raw Data'!I87)</f>
        <v>20220.677530871326</v>
      </c>
      <c r="K85" s="83">
        <f>J85*(1+'Raw Data'!J87)</f>
        <v>17773.975549635896</v>
      </c>
      <c r="L85" s="83">
        <f>K85*(1+'Raw Data'!K87)</f>
        <v>15410.036801534321</v>
      </c>
      <c r="M85" s="83">
        <f>L85*(1+'Raw Data'!L87)</f>
        <v>18014.333020993621</v>
      </c>
      <c r="N85" s="83">
        <f>M85*(1+'Raw Data'!M87)</f>
        <v>18122.419019119581</v>
      </c>
      <c r="O85" s="93"/>
      <c r="P85" s="95"/>
    </row>
    <row r="86" spans="1:16">
      <c r="A86" s="74"/>
      <c r="B86" s="68"/>
      <c r="C86" s="89">
        <f t="shared" si="4"/>
        <v>80</v>
      </c>
      <c r="D86" s="83">
        <f t="shared" si="3"/>
        <v>10000</v>
      </c>
      <c r="E86" s="83">
        <f>D86*(1+'Raw Data'!D88)</f>
        <v>8330</v>
      </c>
      <c r="F86" s="83">
        <f>E86*(1+'Raw Data'!E88)</f>
        <v>9121.35</v>
      </c>
      <c r="G86" s="83">
        <f>F86*(1+'Raw Data'!F88)</f>
        <v>10188.54795</v>
      </c>
      <c r="H86" s="83">
        <f>G86*(1+'Raw Data'!G88)</f>
        <v>13051.529923950002</v>
      </c>
      <c r="I86" s="83">
        <f>H86*(1+'Raw Data'!H88)</f>
        <v>16940.885841287101</v>
      </c>
      <c r="J86" s="83">
        <f>I86*(1+'Raw Data'!I88)</f>
        <v>18787.442397987394</v>
      </c>
      <c r="K86" s="83">
        <f>J86*(1+'Raw Data'!J88)</f>
        <v>29458.709680044234</v>
      </c>
      <c r="L86" s="83">
        <f>K86*(1+'Raw Data'!K88)</f>
        <v>24715.85742155711</v>
      </c>
      <c r="M86" s="83">
        <f>L86*(1+'Raw Data'!L88)</f>
        <v>33440.555091366768</v>
      </c>
      <c r="N86" s="83">
        <f>M86*(1+'Raw Data'!M88)</f>
        <v>23174.304678317174</v>
      </c>
      <c r="O86" s="93"/>
      <c r="P86" s="95"/>
    </row>
    <row r="87" spans="1:16">
      <c r="A87" s="74"/>
      <c r="B87" s="68"/>
      <c r="C87" s="89">
        <f t="shared" si="4"/>
        <v>81</v>
      </c>
      <c r="D87" s="83">
        <f t="shared" si="3"/>
        <v>10000</v>
      </c>
      <c r="E87" s="83">
        <f>D87*(1+'Raw Data'!D89)</f>
        <v>12990</v>
      </c>
      <c r="F87" s="83">
        <f>E87*(1+'Raw Data'!E89)</f>
        <v>15419.130000000001</v>
      </c>
      <c r="G87" s="83">
        <f>F87*(1+'Raw Data'!F89)</f>
        <v>11980.66401</v>
      </c>
      <c r="H87" s="83">
        <f>G87*(1+'Raw Data'!G89)</f>
        <v>10255.44839256</v>
      </c>
      <c r="I87" s="83">
        <f>H87*(1+'Raw Data'!H89)</f>
        <v>10501.57915398144</v>
      </c>
      <c r="J87" s="83">
        <f>I87*(1+'Raw Data'!I89)</f>
        <v>10984.651795064587</v>
      </c>
      <c r="K87" s="83">
        <f>J87*(1+'Raw Data'!J89)</f>
        <v>13082.720287921924</v>
      </c>
      <c r="L87" s="83">
        <f>K87*(1+'Raw Data'!K89)</f>
        <v>12807.983161875563</v>
      </c>
      <c r="M87" s="83">
        <f>L87*(1+'Raw Data'!L89)</f>
        <v>8017.7974593341023</v>
      </c>
      <c r="N87" s="83">
        <f>M87*(1+'Raw Data'!M89)</f>
        <v>7488.6228270180509</v>
      </c>
      <c r="O87" s="93"/>
      <c r="P87" s="95"/>
    </row>
    <row r="88" spans="1:16">
      <c r="A88" s="74"/>
      <c r="B88" s="68"/>
      <c r="C88" s="89">
        <f t="shared" si="4"/>
        <v>82</v>
      </c>
      <c r="D88" s="83">
        <f t="shared" si="3"/>
        <v>10000</v>
      </c>
      <c r="E88" s="83">
        <f>D88*(1+'Raw Data'!D90)</f>
        <v>12840</v>
      </c>
      <c r="F88" s="83">
        <f>E88*(1+'Raw Data'!E90)</f>
        <v>15099.839999999998</v>
      </c>
      <c r="G88" s="83">
        <f>F88*(1+'Raw Data'!F90)</f>
        <v>11521.177919999998</v>
      </c>
      <c r="H88" s="83">
        <f>G88*(1+'Raw Data'!G90)</f>
        <v>13502.820522239997</v>
      </c>
      <c r="I88" s="83">
        <f>H88*(1+'Raw Data'!H90)</f>
        <v>14826.096933419518</v>
      </c>
      <c r="J88" s="83">
        <f>I88*(1+'Raw Data'!I90)</f>
        <v>14544.401091684547</v>
      </c>
      <c r="K88" s="83">
        <f>J88*(1+'Raw Data'!J90)</f>
        <v>16973.316073995866</v>
      </c>
      <c r="L88" s="83">
        <f>K88*(1+'Raw Data'!K90)</f>
        <v>14495.211927192469</v>
      </c>
      <c r="M88" s="83">
        <f>L88*(1+'Raw Data'!L90)</f>
        <v>12958.719462910069</v>
      </c>
      <c r="N88" s="83">
        <f>M88*(1+'Raw Data'!M90)</f>
        <v>9446.9064884614399</v>
      </c>
      <c r="O88" s="93"/>
      <c r="P88" s="95"/>
    </row>
    <row r="89" spans="1:16">
      <c r="A89" s="74"/>
      <c r="B89" s="68"/>
      <c r="C89" s="89">
        <f t="shared" si="4"/>
        <v>83</v>
      </c>
      <c r="D89" s="83">
        <f t="shared" si="3"/>
        <v>10000</v>
      </c>
      <c r="E89" s="83">
        <f>D89*(1+'Raw Data'!D91)</f>
        <v>10750</v>
      </c>
      <c r="F89" s="83">
        <f>E89*(1+'Raw Data'!E91)</f>
        <v>12158.25</v>
      </c>
      <c r="G89" s="83">
        <f>F89*(1+'Raw Data'!F91)</f>
        <v>9981.9232499999998</v>
      </c>
      <c r="H89" s="83">
        <f>G89*(1+'Raw Data'!G91)</f>
        <v>9532.7367037499989</v>
      </c>
      <c r="I89" s="83">
        <f>H89*(1+'Raw Data'!H91)</f>
        <v>11772.929829131248</v>
      </c>
      <c r="J89" s="83">
        <f>I89*(1+'Raw Data'!I91)</f>
        <v>12938.449882215242</v>
      </c>
      <c r="K89" s="83">
        <f>J89*(1+'Raw Data'!J91)</f>
        <v>12576.173285513214</v>
      </c>
      <c r="L89" s="83">
        <f>K89*(1+'Raw Data'!K91)</f>
        <v>9897.4483756988993</v>
      </c>
      <c r="M89" s="83">
        <f>L89*(1+'Raw Data'!L91)</f>
        <v>8808.729054372021</v>
      </c>
      <c r="N89" s="83">
        <f>M89*(1+'Raw Data'!M91)</f>
        <v>9953.8638314403834</v>
      </c>
      <c r="O89" s="93"/>
      <c r="P89" s="95"/>
    </row>
    <row r="90" spans="1:16">
      <c r="A90" s="74"/>
      <c r="B90" s="68"/>
      <c r="C90" s="89">
        <f t="shared" si="4"/>
        <v>84</v>
      </c>
      <c r="D90" s="83">
        <f t="shared" si="3"/>
        <v>10000</v>
      </c>
      <c r="E90" s="83">
        <f>D90*(1+'Raw Data'!D92)</f>
        <v>7940</v>
      </c>
      <c r="F90" s="83">
        <f>E90*(1+'Raw Data'!E92)</f>
        <v>6066.16</v>
      </c>
      <c r="G90" s="83">
        <f>F90*(1+'Raw Data'!F92)</f>
        <v>5999.4322400000001</v>
      </c>
      <c r="H90" s="83">
        <f>G90*(1+'Raw Data'!G92)</f>
        <v>9185.1307594400005</v>
      </c>
      <c r="I90" s="83">
        <f>H90*(1+'Raw Data'!H92)</f>
        <v>13070.44107068312</v>
      </c>
      <c r="J90" s="83">
        <f>I90*(1+'Raw Data'!I92)</f>
        <v>18978.280434631892</v>
      </c>
      <c r="K90" s="83">
        <f>J90*(1+'Raw Data'!J92)</f>
        <v>23590.002580247437</v>
      </c>
      <c r="L90" s="83">
        <f>K90*(1+'Raw Data'!K92)</f>
        <v>20027.912190630075</v>
      </c>
      <c r="M90" s="83">
        <f>L90*(1+'Raw Data'!L92)</f>
        <v>18005.093059376439</v>
      </c>
      <c r="N90" s="83">
        <f>M90*(1+'Raw Data'!M92)</f>
        <v>16546.680521566948</v>
      </c>
      <c r="O90" s="93"/>
      <c r="P90" s="95"/>
    </row>
    <row r="91" spans="1:16">
      <c r="A91" s="74"/>
      <c r="B91" s="68"/>
      <c r="C91" s="89">
        <f t="shared" si="4"/>
        <v>85</v>
      </c>
      <c r="D91" s="83">
        <f t="shared" si="3"/>
        <v>10000</v>
      </c>
      <c r="E91" s="83">
        <f>D91*(1+'Raw Data'!D93)</f>
        <v>9940</v>
      </c>
      <c r="F91" s="83">
        <f>E91*(1+'Raw Data'!E93)</f>
        <v>13061.16</v>
      </c>
      <c r="G91" s="83">
        <f>F91*(1+'Raw Data'!F93)</f>
        <v>17136.24192</v>
      </c>
      <c r="H91" s="83">
        <f>G91*(1+'Raw Data'!G93)</f>
        <v>17547.51172608</v>
      </c>
      <c r="I91" s="83">
        <f>H91*(1+'Raw Data'!H93)</f>
        <v>20565.683742965757</v>
      </c>
      <c r="J91" s="83">
        <f>I91*(1+'Raw Data'!I93)</f>
        <v>22416.595279832676</v>
      </c>
      <c r="K91" s="83">
        <f>J91*(1+'Raw Data'!J93)</f>
        <v>21273.34892056121</v>
      </c>
      <c r="L91" s="83">
        <f>K91*(1+'Raw Data'!K93)</f>
        <v>29910.328582309063</v>
      </c>
      <c r="M91" s="83">
        <f>L91*(1+'Raw Data'!L93)</f>
        <v>31495.57599717144</v>
      </c>
      <c r="N91" s="83">
        <f>M91*(1+'Raw Data'!M93)</f>
        <v>26834.230749590068</v>
      </c>
      <c r="O91" s="93"/>
      <c r="P91" s="95"/>
    </row>
    <row r="92" spans="1:16">
      <c r="A92" s="74"/>
      <c r="B92" s="68"/>
      <c r="C92" s="89">
        <f t="shared" si="4"/>
        <v>86</v>
      </c>
      <c r="D92" s="83">
        <f t="shared" si="3"/>
        <v>10000</v>
      </c>
      <c r="E92" s="83">
        <f>D92*(1+'Raw Data'!D94)</f>
        <v>16339.999999999998</v>
      </c>
      <c r="F92" s="83">
        <f>E92*(1+'Raw Data'!E94)</f>
        <v>19542.639999999996</v>
      </c>
      <c r="G92" s="83">
        <f>F92*(1+'Raw Data'!F94)</f>
        <v>21027.880639999996</v>
      </c>
      <c r="H92" s="83">
        <f>G92*(1+'Raw Data'!G94)</f>
        <v>20817.601833599994</v>
      </c>
      <c r="I92" s="83">
        <f>H92*(1+'Raw Data'!H94)</f>
        <v>18923.200066742396</v>
      </c>
      <c r="J92" s="83">
        <f>I92*(1+'Raw Data'!I94)</f>
        <v>26643.865693973294</v>
      </c>
      <c r="K92" s="83">
        <f>J92*(1+'Raw Data'!J94)</f>
        <v>29574.690920310357</v>
      </c>
      <c r="L92" s="83">
        <f>K92*(1+'Raw Data'!K94)</f>
        <v>32236.413103138293</v>
      </c>
      <c r="M92" s="83">
        <f>L92*(1+'Raw Data'!L94)</f>
        <v>32687.722886582229</v>
      </c>
      <c r="N92" s="83">
        <f>M92*(1+'Raw Data'!M94)</f>
        <v>35629.61794637463</v>
      </c>
      <c r="O92" s="93"/>
      <c r="P92" s="95"/>
    </row>
    <row r="93" spans="1:16">
      <c r="A93" s="74"/>
      <c r="B93" s="68"/>
      <c r="C93" s="89">
        <f t="shared" si="4"/>
        <v>87</v>
      </c>
      <c r="D93" s="83">
        <f t="shared" si="3"/>
        <v>10000</v>
      </c>
      <c r="E93" s="83">
        <f>D93*(1+'Raw Data'!D95)</f>
        <v>9850</v>
      </c>
      <c r="F93" s="83">
        <f>E93*(1+'Raw Data'!E95)</f>
        <v>12430.7</v>
      </c>
      <c r="G93" s="83">
        <f>F93*(1+'Raw Data'!F95)</f>
        <v>11610.273800000001</v>
      </c>
      <c r="H93" s="83">
        <f>G93*(1+'Raw Data'!G95)</f>
        <v>14094.872393200001</v>
      </c>
      <c r="I93" s="83">
        <f>H93*(1+'Raw Data'!H95)</f>
        <v>13249.180049608</v>
      </c>
      <c r="J93" s="83">
        <f>I93*(1+'Raw Data'!I95)</f>
        <v>17011.947183696673</v>
      </c>
      <c r="K93" s="83">
        <f>J93*(1+'Raw Data'!J95)</f>
        <v>18083.699856269563</v>
      </c>
      <c r="L93" s="83">
        <f>K93*(1+'Raw Data'!K95)</f>
        <v>17884.779157850597</v>
      </c>
      <c r="M93" s="83">
        <f>L93*(1+'Raw Data'!L95)</f>
        <v>18385.552974270413</v>
      </c>
      <c r="N93" s="83">
        <f>M93*(1+'Raw Data'!M95)</f>
        <v>16951.47984227732</v>
      </c>
      <c r="O93" s="93"/>
      <c r="P93" s="95"/>
    </row>
    <row r="94" spans="1:16">
      <c r="A94" s="74"/>
      <c r="B94" s="68"/>
      <c r="C94" s="89">
        <f t="shared" si="4"/>
        <v>88</v>
      </c>
      <c r="D94" s="83">
        <f t="shared" si="3"/>
        <v>10000</v>
      </c>
      <c r="E94" s="83">
        <f>D94*(1+'Raw Data'!D96)</f>
        <v>17290</v>
      </c>
      <c r="F94" s="83">
        <f>E94*(1+'Raw Data'!E96)</f>
        <v>18275.53</v>
      </c>
      <c r="G94" s="83">
        <f>F94*(1+'Raw Data'!F96)</f>
        <v>24964.37398</v>
      </c>
      <c r="H94" s="83">
        <f>G94*(1+'Raw Data'!G96)</f>
        <v>31180.503101020004</v>
      </c>
      <c r="I94" s="83">
        <f>H94*(1+'Raw Data'!H96)</f>
        <v>40066.946484810702</v>
      </c>
      <c r="J94" s="83">
        <f>I94*(1+'Raw Data'!I96)</f>
        <v>46557.791815350036</v>
      </c>
      <c r="K94" s="83">
        <f>J94*(1+'Raw Data'!J96)</f>
        <v>33149.147772529221</v>
      </c>
      <c r="L94" s="83">
        <f>K94*(1+'Raw Data'!K96)</f>
        <v>34773.456013383147</v>
      </c>
      <c r="M94" s="83">
        <f>L94*(1+'Raw Data'!L96)</f>
        <v>28653.327755027716</v>
      </c>
      <c r="N94" s="83">
        <f>M94*(1+'Raw Data'!M96)</f>
        <v>23581.688742387811</v>
      </c>
      <c r="O94" s="93"/>
      <c r="P94" s="95"/>
    </row>
    <row r="95" spans="1:16">
      <c r="A95" s="74"/>
      <c r="B95" s="68"/>
      <c r="C95" s="89">
        <f t="shared" si="4"/>
        <v>89</v>
      </c>
      <c r="D95" s="83">
        <f t="shared" si="3"/>
        <v>10000</v>
      </c>
      <c r="E95" s="83">
        <f>D95*(1+'Raw Data'!D97)</f>
        <v>9080</v>
      </c>
      <c r="F95" s="83">
        <f>E95*(1+'Raw Data'!E97)</f>
        <v>10569.119999999999</v>
      </c>
      <c r="G95" s="83">
        <f>F95*(1+'Raw Data'!F97)</f>
        <v>9131.7196799999983</v>
      </c>
      <c r="H95" s="83">
        <f>G95*(1+'Raw Data'!G97)</f>
        <v>10035.759928319998</v>
      </c>
      <c r="I95" s="83">
        <f>H95*(1+'Raw Data'!H97)</f>
        <v>11009.228641367037</v>
      </c>
      <c r="J95" s="83">
        <f>I95*(1+'Raw Data'!I97)</f>
        <v>8554.1706543421878</v>
      </c>
      <c r="K95" s="83">
        <f>J95*(1+'Raw Data'!J97)</f>
        <v>7861.2828313404707</v>
      </c>
      <c r="L95" s="83">
        <f>K95*(1+'Raw Data'!K97)</f>
        <v>8608.1047003178155</v>
      </c>
      <c r="M95" s="83">
        <f>L95*(1+'Raw Data'!L97)</f>
        <v>10243.6445933782</v>
      </c>
      <c r="N95" s="83">
        <f>M95*(1+'Raw Data'!M97)</f>
        <v>11503.612878363718</v>
      </c>
      <c r="O95" s="93"/>
      <c r="P95" s="95"/>
    </row>
    <row r="96" spans="1:16">
      <c r="A96" s="74"/>
      <c r="B96" s="68"/>
      <c r="C96" s="89">
        <f t="shared" si="4"/>
        <v>90</v>
      </c>
      <c r="D96" s="83">
        <f t="shared" si="3"/>
        <v>10000</v>
      </c>
      <c r="E96" s="83">
        <f>D96*(1+'Raw Data'!D98)</f>
        <v>10570</v>
      </c>
      <c r="F96" s="83">
        <f>E96*(1+'Raw Data'!E98)</f>
        <v>10992.800000000001</v>
      </c>
      <c r="G96" s="83">
        <f>F96*(1+'Raw Data'!F98)</f>
        <v>9618.7000000000007</v>
      </c>
      <c r="H96" s="83">
        <f>G96*(1+'Raw Data'!G98)</f>
        <v>10243.915500000001</v>
      </c>
      <c r="I96" s="83">
        <f>H96*(1+'Raw Data'!H98)</f>
        <v>11473.185360000001</v>
      </c>
      <c r="J96" s="83">
        <f>I96*(1+'Raw Data'!I98)</f>
        <v>11702.649067200002</v>
      </c>
      <c r="K96" s="83">
        <f>J96*(1+'Raw Data'!J98)</f>
        <v>12603.753045374402</v>
      </c>
      <c r="L96" s="83">
        <f>K96*(1+'Raw Data'!K98)</f>
        <v>13007.073142826383</v>
      </c>
      <c r="M96" s="83">
        <f>L96*(1+'Raw Data'!L98)</f>
        <v>11329.160707401779</v>
      </c>
      <c r="N96" s="83">
        <f>M96*(1+'Raw Data'!M98)</f>
        <v>14195.43836637443</v>
      </c>
      <c r="O96" s="93"/>
      <c r="P96" s="95"/>
    </row>
    <row r="97" spans="1:16">
      <c r="A97" s="74"/>
      <c r="B97" s="68"/>
      <c r="C97" s="89">
        <f t="shared" si="4"/>
        <v>91</v>
      </c>
      <c r="D97" s="83">
        <f t="shared" si="3"/>
        <v>10000</v>
      </c>
      <c r="E97" s="83">
        <f>D97*(1+'Raw Data'!D99)</f>
        <v>13400</v>
      </c>
      <c r="F97" s="83">
        <f>E97*(1+'Raw Data'!E99)</f>
        <v>11818.8</v>
      </c>
      <c r="G97" s="83">
        <f>F97*(1+'Raw Data'!F99)</f>
        <v>15033.513599999998</v>
      </c>
      <c r="H97" s="83">
        <f>G97*(1+'Raw Data'!G99)</f>
        <v>15424.384953599998</v>
      </c>
      <c r="I97" s="83">
        <f>H97*(1+'Raw Data'!H99)</f>
        <v>14282.980467033598</v>
      </c>
      <c r="J97" s="83">
        <f>I97*(1+'Raw Data'!I99)</f>
        <v>15896.957259808394</v>
      </c>
      <c r="K97" s="83">
        <f>J97*(1+'Raw Data'!J99)</f>
        <v>18472.264335897351</v>
      </c>
      <c r="L97" s="83">
        <f>K97*(1+'Raw Data'!K99)</f>
        <v>19543.655667379397</v>
      </c>
      <c r="M97" s="83">
        <f>L97*(1+'Raw Data'!L99)</f>
        <v>19055.064275694913</v>
      </c>
      <c r="N97" s="83">
        <f>M97*(1+'Raw Data'!M99)</f>
        <v>17282.943298055285</v>
      </c>
      <c r="O97" s="93"/>
      <c r="P97" s="95"/>
    </row>
    <row r="98" spans="1:16">
      <c r="A98" s="74"/>
      <c r="B98" s="68"/>
      <c r="C98" s="89">
        <f t="shared" si="4"/>
        <v>92</v>
      </c>
      <c r="D98" s="83">
        <f t="shared" si="3"/>
        <v>10000</v>
      </c>
      <c r="E98" s="83">
        <f>D98*(1+'Raw Data'!D100)</f>
        <v>8300</v>
      </c>
      <c r="F98" s="83">
        <f>E98*(1+'Raw Data'!E100)</f>
        <v>9229.6</v>
      </c>
      <c r="G98" s="83">
        <f>F98*(1+'Raw Data'!F100)</f>
        <v>13059.884</v>
      </c>
      <c r="H98" s="83">
        <f>G98*(1+'Raw Data'!G100)</f>
        <v>15972.238132</v>
      </c>
      <c r="I98" s="83">
        <f>H98*(1+'Raw Data'!H100)</f>
        <v>12378.4845523</v>
      </c>
      <c r="J98" s="83">
        <f>I98*(1+'Raw Data'!I100)</f>
        <v>12836.488480735099</v>
      </c>
      <c r="K98" s="83">
        <f>J98*(1+'Raw Data'!J100)</f>
        <v>15994.264646995933</v>
      </c>
      <c r="L98" s="83">
        <f>K98*(1+'Raw Data'!K100)</f>
        <v>17577.69684704853</v>
      </c>
      <c r="M98" s="83">
        <f>L98*(1+'Raw Data'!L100)</f>
        <v>18474.159386248004</v>
      </c>
      <c r="N98" s="83">
        <f>M98*(1+'Raw Data'!M100)</f>
        <v>17458.080620004363</v>
      </c>
      <c r="O98" s="93"/>
      <c r="P98" s="95"/>
    </row>
    <row r="99" spans="1:16">
      <c r="A99" s="74"/>
      <c r="B99" s="68"/>
      <c r="C99" s="89">
        <f t="shared" si="4"/>
        <v>93</v>
      </c>
      <c r="D99" s="83">
        <f t="shared" si="3"/>
        <v>10000</v>
      </c>
      <c r="E99" s="83">
        <f>D99*(1+'Raw Data'!D101)</f>
        <v>15710</v>
      </c>
      <c r="F99" s="83">
        <f>E99*(1+'Raw Data'!E101)</f>
        <v>13793.38</v>
      </c>
      <c r="G99" s="83">
        <f>F99*(1+'Raw Data'!F101)</f>
        <v>14386.495339999998</v>
      </c>
      <c r="H99" s="83">
        <f>G99*(1+'Raw Data'!G101)</f>
        <v>13221.189217459998</v>
      </c>
      <c r="I99" s="83">
        <f>H99*(1+'Raw Data'!H101)</f>
        <v>11171.904888753697</v>
      </c>
      <c r="J99" s="83">
        <f>I99*(1+'Raw Data'!I101)</f>
        <v>10937.294886089869</v>
      </c>
      <c r="K99" s="83">
        <f>J99*(1+'Raw Data'!J101)</f>
        <v>13277.875991713101</v>
      </c>
      <c r="L99" s="83">
        <f>K99*(1+'Raw Data'!K101)</f>
        <v>8949.2884184146296</v>
      </c>
      <c r="M99" s="83">
        <f>L99*(1+'Raw Data'!L101)</f>
        <v>9343.0571088248744</v>
      </c>
      <c r="N99" s="83">
        <f>M99*(1+'Raw Data'!M101)</f>
        <v>8305.9777697453137</v>
      </c>
      <c r="O99" s="93"/>
      <c r="P99" s="95"/>
    </row>
    <row r="100" spans="1:16">
      <c r="A100" s="74"/>
      <c r="B100" s="68"/>
      <c r="C100" s="89">
        <f t="shared" si="4"/>
        <v>94</v>
      </c>
      <c r="D100" s="83">
        <f t="shared" si="3"/>
        <v>10000</v>
      </c>
      <c r="E100" s="83">
        <f>D100*(1+'Raw Data'!D102)</f>
        <v>10540</v>
      </c>
      <c r="F100" s="83">
        <f>E100*(1+'Raw Data'!E102)</f>
        <v>11804.800000000001</v>
      </c>
      <c r="G100" s="83">
        <f>F100*(1+'Raw Data'!F102)</f>
        <v>10730.563200000001</v>
      </c>
      <c r="H100" s="83">
        <f>G100*(1+'Raw Data'!G102)</f>
        <v>11492.4331872</v>
      </c>
      <c r="I100" s="83">
        <f>H100*(1+'Raw Data'!H102)</f>
        <v>12641.676505920001</v>
      </c>
      <c r="J100" s="83">
        <f>I100*(1+'Raw Data'!I102)</f>
        <v>16724.938017332159</v>
      </c>
      <c r="K100" s="83">
        <f>J100*(1+'Raw Data'!J102)</f>
        <v>16356.98938095085</v>
      </c>
      <c r="L100" s="83">
        <f>K100*(1+'Raw Data'!K102)</f>
        <v>16618.701211046064</v>
      </c>
      <c r="M100" s="83">
        <f>L100*(1+'Raw Data'!L102)</f>
        <v>19975.678855677368</v>
      </c>
      <c r="N100" s="83">
        <f>M100*(1+'Raw Data'!M102)</f>
        <v>23371.544261142521</v>
      </c>
      <c r="O100" s="93"/>
      <c r="P100" s="95"/>
    </row>
    <row r="101" spans="1:16">
      <c r="A101" s="74"/>
      <c r="B101" s="68"/>
      <c r="C101" s="89">
        <f t="shared" si="4"/>
        <v>95</v>
      </c>
      <c r="D101" s="83">
        <f t="shared" si="3"/>
        <v>10000</v>
      </c>
      <c r="E101" s="83">
        <f>D101*(1+'Raw Data'!D103)</f>
        <v>7260</v>
      </c>
      <c r="F101" s="83">
        <f>E101*(1+'Raw Data'!E103)</f>
        <v>6083.88</v>
      </c>
      <c r="G101" s="83">
        <f>F101*(1+'Raw Data'!F103)</f>
        <v>7215.4816799999999</v>
      </c>
      <c r="H101" s="83">
        <f>G101*(1+'Raw Data'!G103)</f>
        <v>9401.7726290399987</v>
      </c>
      <c r="I101" s="83">
        <f>H101*(1+'Raw Data'!H103)</f>
        <v>14149.667806705196</v>
      </c>
      <c r="J101" s="83">
        <f>I101*(1+'Raw Data'!I103)</f>
        <v>13583.681094436988</v>
      </c>
      <c r="K101" s="83">
        <f>J101*(1+'Raw Data'!J103)</f>
        <v>12958.831764092885</v>
      </c>
      <c r="L101" s="83">
        <f>K101*(1+'Raw Data'!K103)</f>
        <v>11183.471812412159</v>
      </c>
      <c r="M101" s="83">
        <f>L101*(1+'Raw Data'!L103)</f>
        <v>12894.542999711221</v>
      </c>
      <c r="N101" s="83">
        <f>M101*(1+'Raw Data'!M103)</f>
        <v>14764.251734669348</v>
      </c>
      <c r="O101" s="93"/>
      <c r="P101" s="95"/>
    </row>
    <row r="102" spans="1:16">
      <c r="A102" s="74"/>
      <c r="B102" s="68"/>
      <c r="C102" s="89">
        <f t="shared" si="4"/>
        <v>96</v>
      </c>
      <c r="D102" s="83">
        <f t="shared" si="3"/>
        <v>10000</v>
      </c>
      <c r="E102" s="83">
        <f>D102*(1+'Raw Data'!D104)</f>
        <v>10570</v>
      </c>
      <c r="F102" s="83">
        <f>E102*(1+'Raw Data'!E104)</f>
        <v>10622.849999999999</v>
      </c>
      <c r="G102" s="83">
        <f>F102*(1+'Raw Data'!F104)</f>
        <v>13246.693949999997</v>
      </c>
      <c r="H102" s="83">
        <f>G102*(1+'Raw Data'!G104)</f>
        <v>12412.152231149998</v>
      </c>
      <c r="I102" s="83">
        <f>H102*(1+'Raw Data'!H104)</f>
        <v>15229.710787621048</v>
      </c>
      <c r="J102" s="83">
        <f>I102*(1+'Raw Data'!I104)</f>
        <v>19874.772577845466</v>
      </c>
      <c r="K102" s="83">
        <f>J102*(1+'Raw Data'!J104)</f>
        <v>17589.173731393239</v>
      </c>
      <c r="L102" s="83">
        <f>K102*(1+'Raw Data'!K104)</f>
        <v>18626.934981545441</v>
      </c>
      <c r="M102" s="83">
        <f>L102*(1+'Raw Data'!L104)</f>
        <v>23041.518572171713</v>
      </c>
      <c r="N102" s="83">
        <f>M102*(1+'Raw Data'!M104)</f>
        <v>34216.655079674994</v>
      </c>
      <c r="O102" s="93"/>
      <c r="P102" s="95"/>
    </row>
    <row r="103" spans="1:16">
      <c r="A103" s="74"/>
      <c r="B103" s="68"/>
      <c r="C103" s="89">
        <f t="shared" si="4"/>
        <v>97</v>
      </c>
      <c r="D103" s="83">
        <f t="shared" si="3"/>
        <v>10000</v>
      </c>
      <c r="E103" s="83">
        <f>D103*(1+'Raw Data'!D105)</f>
        <v>10100</v>
      </c>
      <c r="F103" s="83">
        <f>E103*(1+'Raw Data'!E105)</f>
        <v>10554.5</v>
      </c>
      <c r="G103" s="83">
        <f>F103*(1+'Raw Data'!F105)</f>
        <v>11293.315000000001</v>
      </c>
      <c r="H103" s="83">
        <f>G103*(1+'Raw Data'!G105)</f>
        <v>13066.365455000001</v>
      </c>
      <c r="I103" s="83">
        <f>H103*(1+'Raw Data'!H105)</f>
        <v>11825.060736775002</v>
      </c>
      <c r="J103" s="83">
        <f>I103*(1+'Raw Data'!I105)</f>
        <v>15786.456083594627</v>
      </c>
      <c r="K103" s="83">
        <f>J103*(1+'Raw Data'!J105)</f>
        <v>17507.179796706441</v>
      </c>
      <c r="L103" s="83">
        <f>K103*(1+'Raw Data'!K105)</f>
        <v>16789.385425041477</v>
      </c>
      <c r="M103" s="83">
        <f>L103*(1+'Raw Data'!L105)</f>
        <v>15815.60107038907</v>
      </c>
      <c r="N103" s="83">
        <f>M103*(1+'Raw Data'!M105)</f>
        <v>16527.303118556578</v>
      </c>
      <c r="O103" s="93"/>
      <c r="P103" s="95"/>
    </row>
    <row r="104" spans="1:16">
      <c r="A104" s="74"/>
      <c r="B104" s="68"/>
      <c r="C104" s="89">
        <f t="shared" si="4"/>
        <v>98</v>
      </c>
      <c r="D104" s="83">
        <f t="shared" si="3"/>
        <v>10000</v>
      </c>
      <c r="E104" s="83">
        <f>D104*(1+'Raw Data'!D106)</f>
        <v>8610</v>
      </c>
      <c r="F104" s="83">
        <f>E104*(1+'Raw Data'!E106)</f>
        <v>10814.16</v>
      </c>
      <c r="G104" s="83">
        <f>F104*(1+'Raw Data'!F106)</f>
        <v>12479.540639999999</v>
      </c>
      <c r="H104" s="83">
        <f>G104*(1+'Raw Data'!G106)</f>
        <v>14076.921841920001</v>
      </c>
      <c r="I104" s="83">
        <f>H104*(1+'Raw Data'!H106)</f>
        <v>17314.613865561601</v>
      </c>
      <c r="J104" s="83">
        <f>I104*(1+'Raw Data'!I106)</f>
        <v>21799.098856742054</v>
      </c>
      <c r="K104" s="83">
        <f>J104*(1+'Raw Data'!J106)</f>
        <v>21799.098856742054</v>
      </c>
      <c r="L104" s="83">
        <f>K104*(1+'Raw Data'!K106)</f>
        <v>25504.9456623882</v>
      </c>
      <c r="M104" s="83">
        <f>L104*(1+'Raw Data'!L106)</f>
        <v>26091.559412623126</v>
      </c>
      <c r="N104" s="83">
        <f>M104*(1+'Raw Data'!M106)</f>
        <v>23378.037233710322</v>
      </c>
      <c r="O104" s="93"/>
      <c r="P104" s="95"/>
    </row>
    <row r="105" spans="1:16">
      <c r="A105" s="74"/>
      <c r="B105" s="68"/>
      <c r="C105" s="89">
        <f t="shared" si="4"/>
        <v>99</v>
      </c>
      <c r="D105" s="83">
        <f t="shared" si="3"/>
        <v>10000</v>
      </c>
      <c r="E105" s="83">
        <f>D105*(1+'Raw Data'!D107)</f>
        <v>8109.9999999999991</v>
      </c>
      <c r="F105" s="83">
        <f>E105*(1+'Raw Data'!E107)</f>
        <v>11118.81</v>
      </c>
      <c r="G105" s="83">
        <f>F105*(1+'Raw Data'!F107)</f>
        <v>10607.344739999999</v>
      </c>
      <c r="H105" s="83">
        <f>G105*(1+'Raw Data'!G107)</f>
        <v>11954.477521979998</v>
      </c>
      <c r="I105" s="83">
        <f>H105*(1+'Raw Data'!H107)</f>
        <v>15265.867795568458</v>
      </c>
      <c r="J105" s="83">
        <f>I105*(1+'Raw Data'!I107)</f>
        <v>15250.60192777289</v>
      </c>
      <c r="K105" s="83">
        <f>J105*(1+'Raw Data'!J107)</f>
        <v>17339.934391877778</v>
      </c>
      <c r="L105" s="83">
        <f>K105*(1+'Raw Data'!K107)</f>
        <v>19056.587896673678</v>
      </c>
      <c r="M105" s="83">
        <f>L105*(1+'Raw Data'!L107)</f>
        <v>22258.094663314856</v>
      </c>
      <c r="N105" s="83">
        <f>M105*(1+'Raw Data'!M107)</f>
        <v>19409.058546410553</v>
      </c>
      <c r="O105" s="93"/>
      <c r="P105" s="95"/>
    </row>
    <row r="106" spans="1:16">
      <c r="A106" s="74"/>
      <c r="B106" s="68"/>
      <c r="C106" s="89">
        <f t="shared" si="4"/>
        <v>100</v>
      </c>
      <c r="D106" s="83">
        <f t="shared" si="3"/>
        <v>10000</v>
      </c>
      <c r="E106" s="83">
        <f>D106*(1+'Raw Data'!D108)</f>
        <v>12160</v>
      </c>
      <c r="F106" s="83">
        <f>E106*(1+'Raw Data'!E108)</f>
        <v>14689.279999999999</v>
      </c>
      <c r="G106" s="83">
        <f>F106*(1+'Raw Data'!F108)</f>
        <v>12882.498559999998</v>
      </c>
      <c r="H106" s="83">
        <f>G106*(1+'Raw Data'!G108)</f>
        <v>10769.768796159999</v>
      </c>
      <c r="I106" s="83">
        <f>H106*(1+'Raw Data'!H108)</f>
        <v>9692.7919165439998</v>
      </c>
      <c r="J106" s="83">
        <f>I106*(1+'Raw Data'!I108)</f>
        <v>11495.651213021183</v>
      </c>
      <c r="K106" s="83">
        <f>J106*(1+'Raw Data'!J108)</f>
        <v>13219.99889497436</v>
      </c>
      <c r="L106" s="83">
        <f>K106*(1+'Raw Data'!K108)</f>
        <v>13920.658836408</v>
      </c>
      <c r="M106" s="83">
        <f>L106*(1+'Raw Data'!L108)</f>
        <v>9716.6198678127839</v>
      </c>
      <c r="N106" s="83">
        <f>M106*(1+'Raw Data'!M108)</f>
        <v>7627.5465962330354</v>
      </c>
      <c r="O106" s="93"/>
      <c r="P106" s="95"/>
    </row>
    <row r="107" spans="1:16">
      <c r="A107" s="74"/>
      <c r="B107" s="69"/>
      <c r="C107" s="69"/>
      <c r="D107" s="69"/>
      <c r="E107" s="69"/>
      <c r="F107" s="69"/>
      <c r="G107" s="69"/>
      <c r="H107" s="69"/>
      <c r="I107" s="69"/>
      <c r="J107" s="69"/>
      <c r="K107" s="69"/>
      <c r="L107" s="69"/>
      <c r="M107" s="69"/>
      <c r="N107" s="69"/>
      <c r="O107" s="70"/>
      <c r="P107" s="9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K107"/>
  <sheetViews>
    <sheetView showGridLines="0" workbookViewId="0"/>
  </sheetViews>
  <sheetFormatPr defaultRowHeight="15"/>
  <cols>
    <col min="1" max="2" width="10.28515625" customWidth="1"/>
    <col min="3" max="4" width="17.140625" customWidth="1"/>
    <col min="10" max="10" width="14.5703125" bestFit="1" customWidth="1"/>
    <col min="11" max="21" width="10.5703125" bestFit="1" customWidth="1"/>
    <col min="26" max="26" width="46.28515625" bestFit="1" customWidth="1"/>
    <col min="27" max="27" width="11.5703125" bestFit="1" customWidth="1"/>
    <col min="31" max="31" width="16.42578125" bestFit="1" customWidth="1"/>
    <col min="34" max="36" width="18.7109375" customWidth="1"/>
  </cols>
  <sheetData>
    <row r="1" spans="1:37">
      <c r="B1" s="73"/>
      <c r="C1" s="73"/>
      <c r="D1" s="73"/>
      <c r="E1" s="73"/>
      <c r="G1" s="73"/>
      <c r="H1" s="73"/>
      <c r="I1" s="73"/>
      <c r="J1" s="73"/>
      <c r="K1" s="73"/>
      <c r="L1" s="73"/>
      <c r="M1" s="73"/>
      <c r="N1" s="73"/>
      <c r="O1" s="73"/>
      <c r="P1" s="73"/>
      <c r="Q1" s="73"/>
      <c r="R1" s="73"/>
      <c r="S1" s="73"/>
      <c r="T1" s="73"/>
      <c r="U1" s="73"/>
      <c r="V1" s="73"/>
      <c r="W1" s="73"/>
      <c r="X1" s="73"/>
      <c r="Y1" s="73"/>
      <c r="Z1" s="73"/>
      <c r="AA1" s="73"/>
      <c r="AB1" s="73"/>
      <c r="AD1" s="73"/>
      <c r="AE1" s="73"/>
      <c r="AF1" s="73"/>
      <c r="AG1" s="73"/>
      <c r="AH1" s="73"/>
      <c r="AI1" s="73"/>
      <c r="AJ1" s="73"/>
      <c r="AK1" s="73"/>
    </row>
    <row r="2" spans="1:37">
      <c r="A2" s="94"/>
      <c r="B2" s="68"/>
      <c r="C2" s="68"/>
      <c r="D2" s="84"/>
      <c r="E2" s="71"/>
      <c r="F2" s="94"/>
      <c r="G2" s="68"/>
      <c r="H2" s="68"/>
      <c r="I2" s="68"/>
      <c r="J2" s="68"/>
      <c r="K2" s="68"/>
      <c r="L2" s="68"/>
      <c r="M2" s="68"/>
      <c r="N2" s="68"/>
      <c r="O2" s="68"/>
      <c r="P2" s="68"/>
      <c r="Q2" s="68"/>
      <c r="R2" s="68"/>
      <c r="S2" s="68"/>
      <c r="T2" s="68"/>
      <c r="U2" s="68"/>
      <c r="V2" s="71"/>
      <c r="X2" s="68"/>
      <c r="Y2" s="68"/>
      <c r="Z2" s="68"/>
      <c r="AA2" s="68"/>
      <c r="AB2" s="71"/>
      <c r="AC2" s="74"/>
      <c r="AD2" s="68"/>
      <c r="AE2" s="68"/>
      <c r="AF2" s="68"/>
      <c r="AG2" s="68"/>
      <c r="AH2" s="68"/>
      <c r="AI2" s="68"/>
      <c r="AJ2" s="68"/>
      <c r="AK2" s="71"/>
    </row>
    <row r="3" spans="1:37" ht="18" thickBot="1">
      <c r="A3" s="94"/>
      <c r="B3" s="68"/>
      <c r="C3" s="75" t="s">
        <v>344</v>
      </c>
      <c r="D3" s="75" t="s">
        <v>345</v>
      </c>
      <c r="E3" s="71"/>
      <c r="F3" s="94"/>
      <c r="G3" s="68"/>
      <c r="H3" s="75" t="s">
        <v>64</v>
      </c>
      <c r="I3" s="75"/>
      <c r="J3" s="75"/>
      <c r="K3" s="75"/>
      <c r="L3" s="75"/>
      <c r="M3" s="75"/>
      <c r="N3" s="75"/>
      <c r="O3" s="75"/>
      <c r="P3" s="75"/>
      <c r="Q3" s="75"/>
      <c r="R3" s="75"/>
      <c r="S3" s="75"/>
      <c r="T3" s="75"/>
      <c r="U3" s="75"/>
      <c r="V3" s="71"/>
      <c r="X3" s="68"/>
      <c r="Y3" s="75" t="s">
        <v>65</v>
      </c>
      <c r="Z3" s="75"/>
      <c r="AA3" s="75"/>
      <c r="AB3" s="71"/>
      <c r="AC3" s="74"/>
      <c r="AD3" s="68"/>
      <c r="AE3" s="75" t="s">
        <v>66</v>
      </c>
      <c r="AF3" s="75"/>
      <c r="AG3" s="75"/>
      <c r="AH3" s="75"/>
      <c r="AI3" s="75"/>
      <c r="AJ3" s="75"/>
      <c r="AK3" s="71"/>
    </row>
    <row r="4" spans="1:37" ht="15.75" thickTop="1">
      <c r="A4" s="94"/>
      <c r="B4" s="68"/>
      <c r="C4" s="85"/>
      <c r="D4" s="85"/>
      <c r="E4" s="71"/>
      <c r="F4" s="94"/>
      <c r="G4" s="68"/>
      <c r="H4" s="68"/>
      <c r="I4" s="68"/>
      <c r="J4" s="68"/>
      <c r="K4" s="68"/>
      <c r="L4" s="68"/>
      <c r="M4" s="68"/>
      <c r="N4" s="68"/>
      <c r="O4" s="68"/>
      <c r="P4" s="68"/>
      <c r="Q4" s="68"/>
      <c r="R4" s="68"/>
      <c r="S4" s="68"/>
      <c r="T4" s="68"/>
      <c r="U4" s="68"/>
      <c r="V4" s="71"/>
      <c r="X4" s="89"/>
      <c r="Y4" s="68"/>
      <c r="Z4" s="68"/>
      <c r="AA4" s="68"/>
      <c r="AB4" s="71"/>
      <c r="AC4" s="74"/>
      <c r="AD4" s="68"/>
      <c r="AE4" s="68"/>
      <c r="AF4" s="68"/>
      <c r="AG4" s="68"/>
      <c r="AH4" s="68"/>
      <c r="AI4" s="68"/>
      <c r="AJ4" s="68"/>
      <c r="AK4" s="71"/>
    </row>
    <row r="5" spans="1:37" ht="30">
      <c r="A5" s="94"/>
      <c r="B5" s="68"/>
      <c r="C5" s="91" t="str">
        <f>"Total return over "&amp;ProjectionLengthYears&amp;" years"</f>
        <v>Total return over 10 years</v>
      </c>
      <c r="D5" s="91" t="s">
        <v>12</v>
      </c>
      <c r="E5" s="71"/>
      <c r="F5" s="94"/>
      <c r="G5" s="68"/>
      <c r="H5" s="68"/>
      <c r="I5" s="68"/>
      <c r="J5" s="89" t="s">
        <v>0</v>
      </c>
      <c r="K5" s="89">
        <v>0</v>
      </c>
      <c r="L5" s="89">
        <v>1</v>
      </c>
      <c r="M5" s="89">
        <v>2</v>
      </c>
      <c r="N5" s="89">
        <v>3</v>
      </c>
      <c r="O5" s="89">
        <v>4</v>
      </c>
      <c r="P5" s="89">
        <v>5</v>
      </c>
      <c r="Q5" s="89">
        <v>6</v>
      </c>
      <c r="R5" s="89">
        <v>7</v>
      </c>
      <c r="S5" s="89">
        <v>8</v>
      </c>
      <c r="T5" s="89">
        <v>9</v>
      </c>
      <c r="U5" s="89">
        <v>10</v>
      </c>
      <c r="V5" s="71"/>
      <c r="X5" s="89" t="s">
        <v>63</v>
      </c>
      <c r="Y5" s="68"/>
      <c r="Z5" s="68" t="s">
        <v>61</v>
      </c>
      <c r="AA5" s="68">
        <f>COUNTIF(Projection!N7:N106,"&lt;"&amp;StartAssetValue)</f>
        <v>21</v>
      </c>
      <c r="AB5" s="71"/>
      <c r="AC5" s="74"/>
      <c r="AD5" s="68"/>
      <c r="AE5" s="89" t="s">
        <v>353</v>
      </c>
      <c r="AF5" s="68"/>
      <c r="AG5" s="68"/>
      <c r="AH5" s="68"/>
      <c r="AI5" s="68"/>
      <c r="AJ5" s="68"/>
      <c r="AK5" s="71"/>
    </row>
    <row r="6" spans="1:37" ht="15.75" customHeight="1">
      <c r="A6" s="94"/>
      <c r="B6" s="83"/>
      <c r="C6" s="97">
        <f>Projection!N7/Projection!D7 -1</f>
        <v>1.3554050833929017</v>
      </c>
      <c r="D6" s="84">
        <f t="shared" ref="D6:D37" si="0">(1+C6)^(1/ProjectionLengthYears) -1</f>
        <v>8.9448137611674028E-2</v>
      </c>
      <c r="E6" s="71"/>
      <c r="F6" s="94"/>
      <c r="G6" s="68"/>
      <c r="H6" s="68"/>
      <c r="I6" s="68"/>
      <c r="J6" s="89"/>
      <c r="K6" s="68"/>
      <c r="L6" s="68"/>
      <c r="M6" s="68"/>
      <c r="N6" s="68"/>
      <c r="O6" s="68"/>
      <c r="P6" s="68"/>
      <c r="Q6" s="68"/>
      <c r="R6" s="68"/>
      <c r="S6" s="68"/>
      <c r="T6" s="68"/>
      <c r="U6" s="68"/>
      <c r="V6" s="71"/>
      <c r="X6" s="89"/>
      <c r="Y6" s="68"/>
      <c r="Z6" s="68" t="s">
        <v>8</v>
      </c>
      <c r="AA6" s="83">
        <f>AA5/NumberSims</f>
        <v>0.21</v>
      </c>
      <c r="AB6" s="71"/>
      <c r="AC6" s="74"/>
      <c r="AD6" s="68"/>
      <c r="AE6" s="68"/>
      <c r="AF6" s="68"/>
      <c r="AG6" s="68"/>
      <c r="AH6" s="68"/>
      <c r="AI6" s="68"/>
      <c r="AJ6" s="68"/>
      <c r="AK6" s="71"/>
    </row>
    <row r="7" spans="1:37" ht="15.75" customHeight="1">
      <c r="A7" s="95"/>
      <c r="B7" s="83"/>
      <c r="C7" s="97">
        <f>Projection!N8/Projection!D8 -1</f>
        <v>-0.27435597295200409</v>
      </c>
      <c r="D7" s="84">
        <f t="shared" si="0"/>
        <v>-3.1560795090792348E-2</v>
      </c>
      <c r="E7" s="71"/>
      <c r="F7" s="94"/>
      <c r="G7" s="68"/>
      <c r="H7" s="90" t="s">
        <v>346</v>
      </c>
      <c r="I7" s="68"/>
      <c r="J7" s="89" t="s">
        <v>9</v>
      </c>
      <c r="K7" s="83">
        <f>MAX(Projection!D$7:D$106)</f>
        <v>10000</v>
      </c>
      <c r="L7" s="83">
        <f>MAX(Projection!E$7:E$106)</f>
        <v>17290</v>
      </c>
      <c r="M7" s="83">
        <f>MAX(Projection!F$7:F$106)</f>
        <v>20656.080000000002</v>
      </c>
      <c r="N7" s="83">
        <f>MAX(Projection!G$7:G$106)</f>
        <v>24964.37398</v>
      </c>
      <c r="O7" s="83">
        <f>MAX(Projection!H$7:H$106)</f>
        <v>31180.503101020004</v>
      </c>
      <c r="P7" s="83">
        <f>MAX(Projection!I$7:I$106)</f>
        <v>40066.946484810702</v>
      </c>
      <c r="Q7" s="83">
        <f>MAX(Projection!J$7:J$106)</f>
        <v>46557.791815350036</v>
      </c>
      <c r="R7" s="83">
        <f>MAX(Projection!K$7:K$106)</f>
        <v>45340.334190908929</v>
      </c>
      <c r="S7" s="83">
        <f>MAX(Projection!L$7:L$106)</f>
        <v>50191.749949336183</v>
      </c>
      <c r="T7" s="83">
        <f>MAX(Projection!M$7:M$106)</f>
        <v>77646.637171623079</v>
      </c>
      <c r="U7" s="83">
        <f>MAX(Projection!N$7:N$106)</f>
        <v>71667.846109408099</v>
      </c>
      <c r="V7" s="71"/>
      <c r="X7" s="89"/>
      <c r="Y7" s="68"/>
      <c r="Z7" s="68"/>
      <c r="AA7" s="83"/>
      <c r="AB7" s="71"/>
      <c r="AC7" s="74"/>
      <c r="AD7" s="68"/>
      <c r="AE7" s="89" t="s">
        <v>16</v>
      </c>
      <c r="AF7" s="91" t="s">
        <v>10</v>
      </c>
      <c r="AG7" s="91" t="s">
        <v>9</v>
      </c>
      <c r="AH7" s="92" t="s">
        <v>14</v>
      </c>
      <c r="AI7" s="92" t="s">
        <v>13</v>
      </c>
      <c r="AJ7" s="92" t="s">
        <v>15</v>
      </c>
      <c r="AK7" s="71"/>
    </row>
    <row r="8" spans="1:37">
      <c r="A8" s="95"/>
      <c r="B8" s="83"/>
      <c r="C8" s="97">
        <f>Projection!N9/Projection!D9 -1</f>
        <v>0.38006324530028235</v>
      </c>
      <c r="D8" s="84">
        <f t="shared" si="0"/>
        <v>3.273738556242245E-2</v>
      </c>
      <c r="E8" s="71"/>
      <c r="F8" s="94"/>
      <c r="G8" s="68"/>
      <c r="H8" s="90" t="s">
        <v>347</v>
      </c>
      <c r="I8" s="68"/>
      <c r="J8" s="89" t="s">
        <v>10</v>
      </c>
      <c r="K8" s="83">
        <f>MIN(Projection!D$7:D$106)</f>
        <v>10000</v>
      </c>
      <c r="L8" s="83">
        <f>MIN(Projection!E$7:E$106)</f>
        <v>6839.9999999999991</v>
      </c>
      <c r="M8" s="83">
        <f>MIN(Projection!F$7:F$106)</f>
        <v>4595.1000000000004</v>
      </c>
      <c r="N8" s="83">
        <f>MIN(Projection!G$7:G$106)</f>
        <v>4705.3824000000004</v>
      </c>
      <c r="O8" s="83">
        <f>MIN(Projection!H$7:H$106)</f>
        <v>4785.3739008000002</v>
      </c>
      <c r="P8" s="83">
        <f>MIN(Projection!I$7:I$106)</f>
        <v>4239.8412761088002</v>
      </c>
      <c r="Q8" s="83">
        <f>MIN(Projection!J$7:J$106)</f>
        <v>3608.533986076292</v>
      </c>
      <c r="R8" s="83">
        <f>MIN(Projection!K$7:K$106)</f>
        <v>3094.498456122687</v>
      </c>
      <c r="S8" s="83">
        <f>MIN(Projection!L$7:L$106)</f>
        <v>2945.9625302287977</v>
      </c>
      <c r="T8" s="83">
        <f>MIN(Projection!M$7:M$106)</f>
        <v>4035.9686664134533</v>
      </c>
      <c r="U8" s="83">
        <f>MIN(Projection!N$7:N$106)</f>
        <v>3721.1631104332041</v>
      </c>
      <c r="V8" s="71"/>
      <c r="X8" s="89"/>
      <c r="Y8" s="68"/>
      <c r="Z8" s="68"/>
      <c r="AA8" s="68"/>
      <c r="AB8" s="71"/>
      <c r="AC8" s="74"/>
      <c r="AD8" s="68"/>
      <c r="AE8" s="89" t="str">
        <f>"From "&amp;100*AF8&amp;"% to "&amp;100*AG8&amp;"%"</f>
        <v>From -10% to -5%</v>
      </c>
      <c r="AF8" s="88">
        <f>Parameters!D13</f>
        <v>-0.1</v>
      </c>
      <c r="AG8" s="88">
        <f>Parameters!E13</f>
        <v>-0.05</v>
      </c>
      <c r="AH8" s="68">
        <f>COUNTIF('Projection statistics'!$D$6:$D$105,"&lt;"&amp;AF8)</f>
        <v>0</v>
      </c>
      <c r="AI8" s="68">
        <f>COUNTIF('Projection statistics'!$D$6:$D$105,"&lt;="&amp;AG8)</f>
        <v>4</v>
      </c>
      <c r="AJ8" s="68">
        <f>AI8-AH8</f>
        <v>4</v>
      </c>
      <c r="AK8" s="71"/>
    </row>
    <row r="9" spans="1:37">
      <c r="A9" s="95"/>
      <c r="B9" s="83"/>
      <c r="C9" s="97">
        <f>Projection!N10/Projection!D10 -1</f>
        <v>1.4196685187568581</v>
      </c>
      <c r="D9" s="84">
        <f t="shared" si="0"/>
        <v>9.2384646304875417E-2</v>
      </c>
      <c r="E9" s="71"/>
      <c r="F9" s="94"/>
      <c r="G9" s="68"/>
      <c r="H9" s="90" t="s">
        <v>348</v>
      </c>
      <c r="I9" s="68"/>
      <c r="J9" s="89" t="s">
        <v>2</v>
      </c>
      <c r="K9" s="83">
        <f>MEDIAN(Projection!D$7:D$106)</f>
        <v>10000</v>
      </c>
      <c r="L9" s="83">
        <f>MEDIAN(Projection!E$7:E$106)</f>
        <v>10570</v>
      </c>
      <c r="M9" s="83">
        <f>MEDIAN(Projection!F$7:F$106)</f>
        <v>11156.684999999999</v>
      </c>
      <c r="N9" s="83">
        <f>MEDIAN(Projection!G$7:G$106)</f>
        <v>11670.686845</v>
      </c>
      <c r="O9" s="83">
        <f>MEDIAN(Projection!H$7:H$106)</f>
        <v>12582.064962340002</v>
      </c>
      <c r="P9" s="83">
        <f>MEDIAN(Projection!I$7:I$106)</f>
        <v>12362.833631405239</v>
      </c>
      <c r="Q9" s="83">
        <f>MEDIAN(Projection!J$7:J$106)</f>
        <v>13230.869431265202</v>
      </c>
      <c r="R9" s="83">
        <f>MEDIAN(Projection!K$7:K$106)</f>
        <v>13252.313217993529</v>
      </c>
      <c r="S9" s="83">
        <f>MEDIAN(Projection!L$7:L$106)</f>
        <v>13917.81072170414</v>
      </c>
      <c r="T9" s="83">
        <f>MEDIAN(Projection!M$7:M$106)</f>
        <v>14453.808253318255</v>
      </c>
      <c r="U9" s="83">
        <f>MEDIAN(Projection!N$7:N$106)</f>
        <v>15578.299494003444</v>
      </c>
      <c r="V9" s="71"/>
      <c r="X9" s="89" t="s">
        <v>352</v>
      </c>
      <c r="Y9" s="68" t="s">
        <v>3</v>
      </c>
      <c r="Z9" s="68"/>
      <c r="AA9" s="68"/>
      <c r="AB9" s="71"/>
      <c r="AC9" s="74"/>
      <c r="AD9" s="68"/>
      <c r="AE9" s="89" t="str">
        <f t="shared" ref="AE9:AE14" si="1">"From "&amp;100*AF9&amp;"% to "&amp;100*AG9&amp;"%"</f>
        <v>From -5% to 0%</v>
      </c>
      <c r="AF9" s="88">
        <f>Parameters!D14</f>
        <v>-0.05</v>
      </c>
      <c r="AG9" s="88">
        <f>Parameters!E14</f>
        <v>0</v>
      </c>
      <c r="AH9" s="68">
        <f>COUNTIF('Projection statistics'!$D$6:$D$105,"&lt;"&amp;AF9)</f>
        <v>4</v>
      </c>
      <c r="AI9" s="68">
        <f>COUNTIF('Projection statistics'!$D$6:$D$105,"&lt;="&amp;AG9)</f>
        <v>21</v>
      </c>
      <c r="AJ9" s="68">
        <f t="shared" ref="AJ9:AJ14" si="2">AI9-AH9</f>
        <v>17</v>
      </c>
      <c r="AK9" s="71"/>
    </row>
    <row r="10" spans="1:37">
      <c r="A10" s="95"/>
      <c r="B10" s="83"/>
      <c r="C10" s="97">
        <f>Projection!N11/Projection!D11 -1</f>
        <v>1.8098299572699039</v>
      </c>
      <c r="D10" s="84">
        <f t="shared" si="0"/>
        <v>0.10883775235018645</v>
      </c>
      <c r="E10" s="71"/>
      <c r="F10" s="94"/>
      <c r="G10" s="68"/>
      <c r="H10" s="90" t="s">
        <v>350</v>
      </c>
      <c r="I10" s="85" t="s">
        <v>80</v>
      </c>
      <c r="J10" s="89">
        <v>25</v>
      </c>
      <c r="K10" s="83">
        <f>SMALL(Projection!D$7:D$106,$J10)</f>
        <v>10000</v>
      </c>
      <c r="L10" s="83">
        <f>SMALL(Projection!E$7:E$106,$J10)</f>
        <v>9330</v>
      </c>
      <c r="M10" s="83">
        <f>SMALL(Projection!F$7:F$106,$J10)</f>
        <v>9314.34</v>
      </c>
      <c r="N10" s="83">
        <f>SMALL(Projection!G$7:G$106,$J10)</f>
        <v>9599.0296999999991</v>
      </c>
      <c r="O10" s="83">
        <f>SMALL(Projection!H$7:H$106,$J10)</f>
        <v>9705.9699446399991</v>
      </c>
      <c r="P10" s="83">
        <f>SMALL(Projection!I$7:I$106,$J10)</f>
        <v>10501.57915398144</v>
      </c>
      <c r="Q10" s="83">
        <f>SMALL(Projection!J$7:J$106,$J10)</f>
        <v>10120.240153817123</v>
      </c>
      <c r="R10" s="83">
        <f>SMALL(Projection!K$7:K$106,$J10)</f>
        <v>10104.823140004457</v>
      </c>
      <c r="S10" s="83">
        <f>SMALL(Projection!L$7:L$106,$J10)</f>
        <v>10244.610577925418</v>
      </c>
      <c r="T10" s="83">
        <f>SMALL(Projection!M$7:M$106,$J10)</f>
        <v>10741.721684683109</v>
      </c>
      <c r="U10" s="83">
        <f>SMALL(Projection!N$7:N$106,$J10)</f>
        <v>10945.814396692087</v>
      </c>
      <c r="V10" s="71"/>
      <c r="X10" s="68"/>
      <c r="Y10" s="68"/>
      <c r="Z10" s="68"/>
      <c r="AA10" s="68"/>
      <c r="AB10" s="71"/>
      <c r="AC10" s="74"/>
      <c r="AD10" s="68"/>
      <c r="AE10" s="89" t="str">
        <f t="shared" si="1"/>
        <v>From 0% to 5%</v>
      </c>
      <c r="AF10" s="88">
        <f>Parameters!D15</f>
        <v>0</v>
      </c>
      <c r="AG10" s="88">
        <f>Parameters!E15</f>
        <v>0.05</v>
      </c>
      <c r="AH10" s="68">
        <f>COUNTIF('Projection statistics'!$D$6:$D$105,"&lt;"&amp;AF10)</f>
        <v>21</v>
      </c>
      <c r="AI10" s="68">
        <f>COUNTIF('Projection statistics'!$D$6:$D$105,"&lt;="&amp;AG10)</f>
        <v>53</v>
      </c>
      <c r="AJ10" s="68">
        <f t="shared" si="2"/>
        <v>32</v>
      </c>
      <c r="AK10" s="71"/>
    </row>
    <row r="11" spans="1:37">
      <c r="A11" s="95"/>
      <c r="B11" s="83"/>
      <c r="C11" s="97">
        <f>Projection!N12/Projection!D12 -1</f>
        <v>0.33108876296750944</v>
      </c>
      <c r="D11" s="84">
        <f t="shared" si="0"/>
        <v>2.9012621544600936E-2</v>
      </c>
      <c r="E11" s="71"/>
      <c r="F11" s="94"/>
      <c r="G11" s="68"/>
      <c r="H11" s="90"/>
      <c r="I11" s="85" t="s">
        <v>80</v>
      </c>
      <c r="J11" s="89">
        <v>26</v>
      </c>
      <c r="K11" s="83">
        <f>SMALL(Projection!D$7:D$106,$J11)</f>
        <v>10000</v>
      </c>
      <c r="L11" s="83">
        <f>SMALL(Projection!E$7:E$106,$J11)</f>
        <v>9370</v>
      </c>
      <c r="M11" s="83">
        <f>SMALL(Projection!F$7:F$106,$J11)</f>
        <v>9366.5699999999979</v>
      </c>
      <c r="N11" s="83">
        <f>SMALL(Projection!G$7:G$106,$J11)</f>
        <v>9618.7000000000007</v>
      </c>
      <c r="O11" s="83">
        <f>SMALL(Projection!H$7:H$106,$J11)</f>
        <v>9858.4399118399997</v>
      </c>
      <c r="P11" s="83">
        <f>SMALL(Projection!I$7:I$106,$J11)</f>
        <v>10532.7652964352</v>
      </c>
      <c r="Q11" s="83">
        <f>SMALL(Projection!J$7:J$106,$J11)</f>
        <v>10138.268256156327</v>
      </c>
      <c r="R11" s="83">
        <f>SMALL(Projection!K$7:K$106,$J11)</f>
        <v>10155.549689685495</v>
      </c>
      <c r="S11" s="83">
        <f>SMALL(Projection!L$7:L$106,$J11)</f>
        <v>10291.063672347071</v>
      </c>
      <c r="T11" s="83">
        <f>SMALL(Projection!M$7:M$106,$J11)</f>
        <v>10928.479170505005</v>
      </c>
      <c r="U11" s="83">
        <f>SMALL(Projection!N$7:N$106,$J11)</f>
        <v>11352.097457957458</v>
      </c>
      <c r="V11" s="71"/>
      <c r="X11" s="68"/>
      <c r="Y11" s="68"/>
      <c r="Z11" s="68" t="s">
        <v>4</v>
      </c>
      <c r="AA11" s="68">
        <f>AA5</f>
        <v>21</v>
      </c>
      <c r="AB11" s="71"/>
      <c r="AC11" s="74"/>
      <c r="AD11" s="68"/>
      <c r="AE11" s="89" t="str">
        <f t="shared" si="1"/>
        <v>From 5% to 10%</v>
      </c>
      <c r="AF11" s="88">
        <f>Parameters!D16</f>
        <v>0.05</v>
      </c>
      <c r="AG11" s="88">
        <f>Parameters!E16</f>
        <v>0.1</v>
      </c>
      <c r="AH11" s="68">
        <f>COUNTIF('Projection statistics'!$D$6:$D$105,"&lt;"&amp;AF11)</f>
        <v>53</v>
      </c>
      <c r="AI11" s="68">
        <f>COUNTIF('Projection statistics'!$D$6:$D$105,"&lt;="&amp;AG11)</f>
        <v>83</v>
      </c>
      <c r="AJ11" s="68">
        <f t="shared" si="2"/>
        <v>30</v>
      </c>
      <c r="AK11" s="71"/>
    </row>
    <row r="12" spans="1:37">
      <c r="A12" s="95"/>
      <c r="B12" s="83"/>
      <c r="C12" s="97">
        <f>Projection!N13/Projection!D13 -1</f>
        <v>0.53139564322403743</v>
      </c>
      <c r="D12" s="84">
        <f t="shared" si="0"/>
        <v>4.3539135049523336E-2</v>
      </c>
      <c r="E12" s="71"/>
      <c r="F12" s="94"/>
      <c r="G12" s="68"/>
      <c r="H12" s="90"/>
      <c r="I12" s="68"/>
      <c r="J12" s="89" t="str">
        <f>J10&amp;"th percentile"</f>
        <v>25th percentile</v>
      </c>
      <c r="K12" s="83">
        <f>(K10+3*K11)/4</f>
        <v>10000</v>
      </c>
      <c r="L12" s="83">
        <f t="shared" ref="L12:U12" si="3">(L10+3*L11)/4</f>
        <v>9360</v>
      </c>
      <c r="M12" s="83">
        <f t="shared" si="3"/>
        <v>9353.5124999999971</v>
      </c>
      <c r="N12" s="83">
        <f t="shared" si="3"/>
        <v>9613.7824250000012</v>
      </c>
      <c r="O12" s="83">
        <f t="shared" si="3"/>
        <v>9820.32242004</v>
      </c>
      <c r="P12" s="83">
        <f t="shared" si="3"/>
        <v>10524.968760821759</v>
      </c>
      <c r="Q12" s="83">
        <f t="shared" si="3"/>
        <v>10133.761230571527</v>
      </c>
      <c r="R12" s="83">
        <f t="shared" si="3"/>
        <v>10142.868052265236</v>
      </c>
      <c r="S12" s="83">
        <f t="shared" si="3"/>
        <v>10279.450398741657</v>
      </c>
      <c r="T12" s="83">
        <f t="shared" si="3"/>
        <v>10881.789799049531</v>
      </c>
      <c r="U12" s="83">
        <f t="shared" si="3"/>
        <v>11250.526692641117</v>
      </c>
      <c r="V12" s="71"/>
      <c r="X12" s="68"/>
      <c r="Y12" s="68"/>
      <c r="Z12" s="68" t="s">
        <v>5</v>
      </c>
      <c r="AA12" s="87">
        <f>SUMIF(Projection!N7:N106,"&lt;"&amp;StartAssetValue,Projection!N7:N106)</f>
        <v>157764.11377800259</v>
      </c>
      <c r="AB12" s="71"/>
      <c r="AC12" s="74"/>
      <c r="AD12" s="68"/>
      <c r="AE12" s="89" t="str">
        <f t="shared" si="1"/>
        <v>From 10% to 15%</v>
      </c>
      <c r="AF12" s="88">
        <f>Parameters!D17</f>
        <v>0.1</v>
      </c>
      <c r="AG12" s="88">
        <f>Parameters!E17</f>
        <v>0.15</v>
      </c>
      <c r="AH12" s="68">
        <f>COUNTIF('Projection statistics'!$D$6:$D$105,"&lt;"&amp;AF12)</f>
        <v>83</v>
      </c>
      <c r="AI12" s="68">
        <f>COUNTIF('Projection statistics'!$D$6:$D$105,"&lt;="&amp;AG12)</f>
        <v>97</v>
      </c>
      <c r="AJ12" s="68">
        <f t="shared" si="2"/>
        <v>14</v>
      </c>
      <c r="AK12" s="71"/>
    </row>
    <row r="13" spans="1:37">
      <c r="A13" s="95"/>
      <c r="B13" s="83"/>
      <c r="C13" s="97">
        <f>Projection!N14/Projection!D14 -1</f>
        <v>-0.25921513284035547</v>
      </c>
      <c r="D13" s="84">
        <f t="shared" si="0"/>
        <v>-2.955883573283713E-2</v>
      </c>
      <c r="E13" s="71"/>
      <c r="F13" s="94"/>
      <c r="G13" s="68"/>
      <c r="H13" s="90"/>
      <c r="I13" s="68"/>
      <c r="J13" s="83"/>
      <c r="K13" s="83"/>
      <c r="L13" s="83"/>
      <c r="M13" s="83"/>
      <c r="N13" s="83"/>
      <c r="O13" s="83"/>
      <c r="P13" s="83"/>
      <c r="Q13" s="83"/>
      <c r="R13" s="83"/>
      <c r="S13" s="83"/>
      <c r="T13" s="83"/>
      <c r="U13" s="83"/>
      <c r="V13" s="71"/>
      <c r="X13" s="68"/>
      <c r="Y13" s="68"/>
      <c r="Z13" s="68"/>
      <c r="AA13" s="68"/>
      <c r="AB13" s="71"/>
      <c r="AC13" s="74"/>
      <c r="AD13" s="68"/>
      <c r="AE13" s="89" t="str">
        <f t="shared" si="1"/>
        <v>From 15% to 20%</v>
      </c>
      <c r="AF13" s="88">
        <f>Parameters!D18</f>
        <v>0.15</v>
      </c>
      <c r="AG13" s="88">
        <f>Parameters!E18</f>
        <v>0.2</v>
      </c>
      <c r="AH13" s="68">
        <f>COUNTIF('Projection statistics'!$D$6:$D$105,"&lt;"&amp;AF13)</f>
        <v>97</v>
      </c>
      <c r="AI13" s="68">
        <f>COUNTIF('Projection statistics'!$D$6:$D$105,"&lt;="&amp;AG13)</f>
        <v>99</v>
      </c>
      <c r="AJ13" s="68">
        <f t="shared" si="2"/>
        <v>2</v>
      </c>
      <c r="AK13" s="71"/>
    </row>
    <row r="14" spans="1:37">
      <c r="A14" s="95"/>
      <c r="B14" s="83"/>
      <c r="C14" s="97">
        <f>Projection!N15/Projection!D15 -1</f>
        <v>-0.11525436063122085</v>
      </c>
      <c r="D14" s="84">
        <f t="shared" si="0"/>
        <v>-1.2170837705515192E-2</v>
      </c>
      <c r="E14" s="71"/>
      <c r="F14" s="94"/>
      <c r="G14" s="68"/>
      <c r="H14" s="90" t="s">
        <v>351</v>
      </c>
      <c r="I14" s="85" t="s">
        <v>80</v>
      </c>
      <c r="J14" s="89">
        <v>75</v>
      </c>
      <c r="K14" s="83">
        <f>SMALL(Projection!D$7:D$106,$J14)</f>
        <v>10000</v>
      </c>
      <c r="L14" s="83">
        <f>SMALL(Projection!E$7:E$106,$J14)</f>
        <v>12080</v>
      </c>
      <c r="M14" s="83">
        <f>SMALL(Projection!F$7:F$106,$J14)</f>
        <v>12521.83</v>
      </c>
      <c r="N14" s="83">
        <f>SMALL(Projection!G$7:G$106,$J14)</f>
        <v>14067.123840000002</v>
      </c>
      <c r="O14" s="83">
        <f>SMALL(Projection!H$7:H$106,$J14)</f>
        <v>14979.606690240003</v>
      </c>
      <c r="P14" s="83">
        <f>SMALL(Projection!I$7:I$106,$J14)</f>
        <v>15324.620857031397</v>
      </c>
      <c r="Q14" s="83">
        <f>SMALL(Projection!J$7:J$106,$J14)</f>
        <v>16852.424039820093</v>
      </c>
      <c r="R14" s="83">
        <f>SMALL(Projection!K$7:K$106,$J14)</f>
        <v>17425.817631500086</v>
      </c>
      <c r="S14" s="83">
        <f>SMALL(Projection!L$7:L$106,$J14)</f>
        <v>18626.934981545441</v>
      </c>
      <c r="T14" s="83">
        <f>SMALL(Projection!M$7:M$106,$J14)</f>
        <v>19881.464596188107</v>
      </c>
      <c r="U14" s="83">
        <f>SMALL(Projection!N$7:N$106,$J14)</f>
        <v>21682.558225439559</v>
      </c>
      <c r="V14" s="71"/>
      <c r="X14" s="68"/>
      <c r="Y14" s="68"/>
      <c r="Z14" s="68" t="s">
        <v>6</v>
      </c>
      <c r="AA14" s="87">
        <f>AA12/AA11</f>
        <v>7512.5768465715519</v>
      </c>
      <c r="AB14" s="71"/>
      <c r="AC14" s="74"/>
      <c r="AD14" s="68"/>
      <c r="AE14" s="89" t="str">
        <f t="shared" si="1"/>
        <v>From 20% to 25%</v>
      </c>
      <c r="AF14" s="88">
        <f>Parameters!D19</f>
        <v>0.2</v>
      </c>
      <c r="AG14" s="88">
        <f>Parameters!E19</f>
        <v>0.25</v>
      </c>
      <c r="AH14" s="68">
        <f>COUNTIF('Projection statistics'!$D$6:$D$105,"&lt;"&amp;AF14)</f>
        <v>99</v>
      </c>
      <c r="AI14" s="68">
        <f>COUNTIF('Projection statistics'!$D$6:$D$105,"&lt;="&amp;AG14)</f>
        <v>100</v>
      </c>
      <c r="AJ14" s="68">
        <f t="shared" si="2"/>
        <v>1</v>
      </c>
      <c r="AK14" s="71"/>
    </row>
    <row r="15" spans="1:37">
      <c r="A15" s="95"/>
      <c r="B15" s="83"/>
      <c r="C15" s="97">
        <f>Projection!N16/Projection!D16 -1</f>
        <v>0.47333037806163114</v>
      </c>
      <c r="D15" s="84">
        <f t="shared" si="0"/>
        <v>3.9513214043710665E-2</v>
      </c>
      <c r="E15" s="71"/>
      <c r="F15" s="94"/>
      <c r="G15" s="68"/>
      <c r="H15" s="90"/>
      <c r="I15" s="85" t="s">
        <v>80</v>
      </c>
      <c r="J15" s="89">
        <v>76</v>
      </c>
      <c r="K15" s="83">
        <f>SMALL(Projection!D$7:D$106,$J15)</f>
        <v>10000</v>
      </c>
      <c r="L15" s="83">
        <f>SMALL(Projection!E$7:E$106,$J15)</f>
        <v>12090</v>
      </c>
      <c r="M15" s="83">
        <f>SMALL(Projection!F$7:F$106,$J15)</f>
        <v>12741.960000000001</v>
      </c>
      <c r="N15" s="83">
        <f>SMALL(Projection!G$7:G$106,$J15)</f>
        <v>14067.50656</v>
      </c>
      <c r="O15" s="83">
        <f>SMALL(Projection!H$7:H$106,$J15)</f>
        <v>15391.7029728</v>
      </c>
      <c r="P15" s="83">
        <f>SMALL(Projection!I$7:I$106,$J15)</f>
        <v>15646.057151669276</v>
      </c>
      <c r="Q15" s="83">
        <f>SMALL(Projection!J$7:J$106,$J15)</f>
        <v>17011.947183696673</v>
      </c>
      <c r="R15" s="83">
        <f>SMALL(Projection!K$7:K$106,$J15)</f>
        <v>17507.179796706441</v>
      </c>
      <c r="S15" s="83">
        <f>SMALL(Projection!L$7:L$106,$J15)</f>
        <v>18914.201272264621</v>
      </c>
      <c r="T15" s="83">
        <f>SMALL(Projection!M$7:M$106,$J15)</f>
        <v>19975.678855677368</v>
      </c>
      <c r="U15" s="83">
        <f>SMALL(Projection!N$7:N$106,$J15)</f>
        <v>23030.094037601695</v>
      </c>
      <c r="V15" s="71"/>
      <c r="X15" s="68"/>
      <c r="Y15" s="68"/>
      <c r="Z15" s="68" t="s">
        <v>7</v>
      </c>
      <c r="AA15" s="87">
        <f>StartAssetValue-AA14</f>
        <v>2487.4231534284481</v>
      </c>
      <c r="AB15" s="71"/>
      <c r="AC15" s="74"/>
      <c r="AD15" s="68"/>
      <c r="AE15" s="68"/>
      <c r="AF15" s="68"/>
      <c r="AG15" s="68"/>
      <c r="AH15" s="68"/>
      <c r="AI15" s="68"/>
      <c r="AJ15" s="68"/>
      <c r="AK15" s="71"/>
    </row>
    <row r="16" spans="1:37">
      <c r="A16" s="95"/>
      <c r="B16" s="83"/>
      <c r="C16" s="97">
        <f>Projection!N17/Projection!D17 -1</f>
        <v>1.5540413403977085</v>
      </c>
      <c r="D16" s="84">
        <f t="shared" si="0"/>
        <v>9.830457397737602E-2</v>
      </c>
      <c r="E16" s="71"/>
      <c r="F16" s="94"/>
      <c r="G16" s="68"/>
      <c r="H16" s="90"/>
      <c r="I16" s="68"/>
      <c r="J16" s="89" t="str">
        <f>J14&amp;"th percentile"</f>
        <v>75th percentile</v>
      </c>
      <c r="K16" s="83">
        <f>(3*K14+K15)/4</f>
        <v>10000</v>
      </c>
      <c r="L16" s="83">
        <f t="shared" ref="L16:U16" si="4">(3*L14+L15)/4</f>
        <v>12082.5</v>
      </c>
      <c r="M16" s="83">
        <f t="shared" si="4"/>
        <v>12576.862499999999</v>
      </c>
      <c r="N16" s="83">
        <f t="shared" si="4"/>
        <v>14067.219520000002</v>
      </c>
      <c r="O16" s="83">
        <f t="shared" si="4"/>
        <v>15082.630760880002</v>
      </c>
      <c r="P16" s="83">
        <f t="shared" si="4"/>
        <v>15404.979930690868</v>
      </c>
      <c r="Q16" s="83">
        <f t="shared" si="4"/>
        <v>16892.304825789237</v>
      </c>
      <c r="R16" s="83">
        <f t="shared" si="4"/>
        <v>17446.158172801675</v>
      </c>
      <c r="S16" s="83">
        <f t="shared" si="4"/>
        <v>18698.751554225237</v>
      </c>
      <c r="T16" s="83">
        <f t="shared" si="4"/>
        <v>19905.018161060423</v>
      </c>
      <c r="U16" s="83">
        <f t="shared" si="4"/>
        <v>22019.442178480094</v>
      </c>
      <c r="V16" s="71"/>
      <c r="X16" s="69"/>
      <c r="Y16" s="69"/>
      <c r="Z16" s="69"/>
      <c r="AA16" s="69"/>
      <c r="AB16" s="70"/>
      <c r="AC16" s="74"/>
      <c r="AD16" s="68"/>
      <c r="AE16" s="68"/>
      <c r="AF16" s="68"/>
      <c r="AG16" s="68"/>
      <c r="AH16" s="68"/>
      <c r="AI16" s="68"/>
      <c r="AJ16" s="68"/>
      <c r="AK16" s="71"/>
    </row>
    <row r="17" spans="1:37">
      <c r="A17" s="95"/>
      <c r="B17" s="83"/>
      <c r="C17" s="97">
        <f>Projection!N18/Projection!D18 -1</f>
        <v>1.7232967557559231</v>
      </c>
      <c r="D17" s="84">
        <f t="shared" si="0"/>
        <v>0.10537464073074498</v>
      </c>
      <c r="E17" s="71"/>
      <c r="F17" s="94"/>
      <c r="G17" s="68"/>
      <c r="H17" s="90"/>
      <c r="I17" s="68"/>
      <c r="J17" s="89"/>
      <c r="K17" s="83"/>
      <c r="L17" s="83"/>
      <c r="M17" s="83"/>
      <c r="N17" s="83"/>
      <c r="O17" s="83"/>
      <c r="P17" s="83"/>
      <c r="Q17" s="83"/>
      <c r="R17" s="83"/>
      <c r="S17" s="83"/>
      <c r="T17" s="83"/>
      <c r="U17" s="83"/>
      <c r="V17" s="71"/>
      <c r="AC17" s="74"/>
      <c r="AD17" s="68"/>
      <c r="AE17" s="68"/>
      <c r="AF17" s="68"/>
      <c r="AG17" s="68"/>
      <c r="AH17" s="89"/>
      <c r="AI17" s="68" t="s">
        <v>62</v>
      </c>
      <c r="AJ17" s="68">
        <f>SUM(AJ8:AJ14)</f>
        <v>100</v>
      </c>
      <c r="AK17" s="71"/>
    </row>
    <row r="18" spans="1:37">
      <c r="A18" s="95"/>
      <c r="B18" s="83"/>
      <c r="C18" s="97">
        <f>Projection!N19/Projection!D19 -1</f>
        <v>2.5083353768769165</v>
      </c>
      <c r="D18" s="84">
        <f t="shared" si="0"/>
        <v>0.13373123080062599</v>
      </c>
      <c r="E18" s="71"/>
      <c r="F18" s="94"/>
      <c r="G18" s="68"/>
      <c r="H18" s="90" t="s">
        <v>349</v>
      </c>
      <c r="I18" s="68"/>
      <c r="J18" s="89" t="s">
        <v>11</v>
      </c>
      <c r="K18" s="83">
        <f>AVERAGE(Projection!D$7:D$106)</f>
        <v>10000</v>
      </c>
      <c r="L18" s="83">
        <f>AVERAGE(Projection!E$7:E$106)</f>
        <v>10846.7</v>
      </c>
      <c r="M18" s="83">
        <f>AVERAGE(Projection!F$7:F$106)</f>
        <v>11313.615299999999</v>
      </c>
      <c r="N18" s="83">
        <f>AVERAGE(Projection!G$7:G$106)</f>
        <v>12142.730543400001</v>
      </c>
      <c r="O18" s="83">
        <f>AVERAGE(Projection!H$7:H$106)</f>
        <v>13159.482575250991</v>
      </c>
      <c r="P18" s="83">
        <f>AVERAGE(Projection!I$7:I$106)</f>
        <v>13626.302429561378</v>
      </c>
      <c r="Q18" s="83">
        <f>AVERAGE(Projection!J$7:J$106)</f>
        <v>14712.531717634953</v>
      </c>
      <c r="R18" s="83">
        <f>AVERAGE(Projection!K$7:K$106)</f>
        <v>15440.110732169049</v>
      </c>
      <c r="S18" s="83">
        <f>AVERAGE(Projection!L$7:L$106)</f>
        <v>15823.774901238958</v>
      </c>
      <c r="T18" s="83">
        <f>AVERAGE(Projection!M$7:M$106)</f>
        <v>16995.827531417504</v>
      </c>
      <c r="U18" s="83">
        <f>AVERAGE(Projection!N$7:N$106)</f>
        <v>17508.991587061744</v>
      </c>
      <c r="V18" s="71"/>
      <c r="AC18" s="74"/>
      <c r="AD18" s="69"/>
      <c r="AE18" s="69"/>
      <c r="AF18" s="69"/>
      <c r="AG18" s="69"/>
      <c r="AH18" s="69"/>
      <c r="AI18" s="69"/>
      <c r="AJ18" s="69"/>
      <c r="AK18" s="70"/>
    </row>
    <row r="19" spans="1:37">
      <c r="A19" s="95"/>
      <c r="B19" s="83"/>
      <c r="C19" s="97">
        <f>Projection!N20/Projection!D20 -1</f>
        <v>-0.27525769687382351</v>
      </c>
      <c r="D19" s="84">
        <f t="shared" si="0"/>
        <v>-3.1681205853425376E-2</v>
      </c>
      <c r="E19" s="71"/>
      <c r="F19" s="94"/>
      <c r="G19" s="68"/>
      <c r="H19" s="90"/>
      <c r="I19" s="68"/>
      <c r="J19" s="89"/>
      <c r="K19" s="83"/>
      <c r="L19" s="83"/>
      <c r="M19" s="83"/>
      <c r="N19" s="83"/>
      <c r="O19" s="83"/>
      <c r="P19" s="83"/>
      <c r="Q19" s="83"/>
      <c r="R19" s="83"/>
      <c r="S19" s="83"/>
      <c r="T19" s="83"/>
      <c r="U19" s="83"/>
      <c r="V19" s="71"/>
      <c r="AC19" s="74"/>
    </row>
    <row r="20" spans="1:37">
      <c r="A20" s="95"/>
      <c r="B20" s="83"/>
      <c r="C20" s="97">
        <f>Projection!N21/Projection!D21 -1</f>
        <v>0.35506951819877131</v>
      </c>
      <c r="D20" s="84">
        <f t="shared" si="0"/>
        <v>3.0851619633099681E-2</v>
      </c>
      <c r="E20" s="71"/>
      <c r="F20" s="94"/>
      <c r="G20" s="68"/>
      <c r="H20" s="90" t="s">
        <v>58</v>
      </c>
      <c r="I20" s="68"/>
      <c r="J20" s="89"/>
      <c r="K20" s="83"/>
      <c r="L20" s="83"/>
      <c r="M20" s="83"/>
      <c r="N20" s="83"/>
      <c r="O20" s="83"/>
      <c r="P20" s="83"/>
      <c r="Q20" s="83"/>
      <c r="R20" s="83"/>
      <c r="S20" s="83"/>
      <c r="T20" s="83"/>
      <c r="U20" s="83"/>
      <c r="V20" s="71"/>
      <c r="AC20" s="74"/>
    </row>
    <row r="21" spans="1:37">
      <c r="A21" s="95"/>
      <c r="B21" s="83"/>
      <c r="C21" s="97">
        <f>Projection!N22/Projection!D22 -1</f>
        <v>1.0962830185873025</v>
      </c>
      <c r="D21" s="84">
        <f t="shared" si="0"/>
        <v>7.6824657517622574E-2</v>
      </c>
      <c r="E21" s="71"/>
      <c r="F21" s="94"/>
      <c r="G21" s="68"/>
      <c r="H21" s="90"/>
      <c r="I21" s="68"/>
      <c r="J21" s="89"/>
      <c r="K21" s="83"/>
      <c r="L21" s="83"/>
      <c r="M21" s="83"/>
      <c r="N21" s="83"/>
      <c r="O21" s="83"/>
      <c r="P21" s="83"/>
      <c r="Q21" s="83"/>
      <c r="R21" s="83"/>
      <c r="S21" s="83"/>
      <c r="T21" s="83"/>
      <c r="U21" s="83"/>
      <c r="V21" s="71"/>
    </row>
    <row r="22" spans="1:37">
      <c r="A22" s="95"/>
      <c r="B22" s="83"/>
      <c r="C22" s="97">
        <f>Projection!N23/Projection!D23 -1</f>
        <v>-0.4305658683591902</v>
      </c>
      <c r="D22" s="84">
        <f t="shared" si="0"/>
        <v>-5.4755085493148892E-2</v>
      </c>
      <c r="E22" s="71"/>
      <c r="F22" s="94"/>
      <c r="G22" s="68"/>
      <c r="H22" s="90"/>
      <c r="I22" s="85"/>
      <c r="J22" s="99" t="s">
        <v>123</v>
      </c>
      <c r="K22" s="83" t="str">
        <f>IF(K8&lt;=K12,"ok","check")</f>
        <v>ok</v>
      </c>
      <c r="L22" s="83" t="str">
        <f t="shared" ref="L22:U22" si="5">IF(L8&lt;=L12,"ok","check")</f>
        <v>ok</v>
      </c>
      <c r="M22" s="83" t="str">
        <f t="shared" si="5"/>
        <v>ok</v>
      </c>
      <c r="N22" s="83" t="str">
        <f t="shared" si="5"/>
        <v>ok</v>
      </c>
      <c r="O22" s="83" t="str">
        <f t="shared" si="5"/>
        <v>ok</v>
      </c>
      <c r="P22" s="83" t="str">
        <f t="shared" si="5"/>
        <v>ok</v>
      </c>
      <c r="Q22" s="83" t="str">
        <f t="shared" si="5"/>
        <v>ok</v>
      </c>
      <c r="R22" s="83" t="str">
        <f t="shared" si="5"/>
        <v>ok</v>
      </c>
      <c r="S22" s="83" t="str">
        <f t="shared" si="5"/>
        <v>ok</v>
      </c>
      <c r="T22" s="83" t="str">
        <f t="shared" si="5"/>
        <v>ok</v>
      </c>
      <c r="U22" s="83" t="str">
        <f t="shared" si="5"/>
        <v>ok</v>
      </c>
      <c r="V22" s="71"/>
    </row>
    <row r="23" spans="1:37">
      <c r="A23" s="95"/>
      <c r="B23" s="83"/>
      <c r="C23" s="97">
        <f>Projection!N24/Projection!D24 -1</f>
        <v>9.3585026212523292E-2</v>
      </c>
      <c r="D23" s="84">
        <f t="shared" si="0"/>
        <v>8.9862676459657731E-3</v>
      </c>
      <c r="E23" s="71"/>
      <c r="F23" s="94"/>
      <c r="G23" s="68"/>
      <c r="H23" s="90"/>
      <c r="I23" s="99"/>
      <c r="J23" s="99" t="s">
        <v>69</v>
      </c>
      <c r="K23" s="83" t="str">
        <f>IF(K12&lt;=K9,"ok","check")</f>
        <v>ok</v>
      </c>
      <c r="L23" s="83" t="str">
        <f t="shared" ref="L23:U23" si="6">IF(L12&lt;=L9,"ok","check")</f>
        <v>ok</v>
      </c>
      <c r="M23" s="83" t="str">
        <f t="shared" si="6"/>
        <v>ok</v>
      </c>
      <c r="N23" s="83" t="str">
        <f t="shared" si="6"/>
        <v>ok</v>
      </c>
      <c r="O23" s="83" t="str">
        <f t="shared" si="6"/>
        <v>ok</v>
      </c>
      <c r="P23" s="83" t="str">
        <f t="shared" si="6"/>
        <v>ok</v>
      </c>
      <c r="Q23" s="83" t="str">
        <f t="shared" si="6"/>
        <v>ok</v>
      </c>
      <c r="R23" s="83" t="str">
        <f t="shared" si="6"/>
        <v>ok</v>
      </c>
      <c r="S23" s="83" t="str">
        <f t="shared" si="6"/>
        <v>ok</v>
      </c>
      <c r="T23" s="83" t="str">
        <f t="shared" si="6"/>
        <v>ok</v>
      </c>
      <c r="U23" s="83" t="str">
        <f t="shared" si="6"/>
        <v>ok</v>
      </c>
      <c r="V23" s="71"/>
    </row>
    <row r="24" spans="1:37">
      <c r="A24" s="95"/>
      <c r="B24" s="83"/>
      <c r="C24" s="97">
        <f>Projection!N25/Projection!D25 -1</f>
        <v>0.80754166266977689</v>
      </c>
      <c r="D24" s="84">
        <f t="shared" si="0"/>
        <v>6.098399263902099E-2</v>
      </c>
      <c r="E24" s="71"/>
      <c r="G24" s="68"/>
      <c r="H24" s="90"/>
      <c r="I24" s="99"/>
      <c r="J24" s="99" t="s">
        <v>70</v>
      </c>
      <c r="K24" s="83" t="str">
        <f>IF(K9&lt;=K16,"ok","check")</f>
        <v>ok</v>
      </c>
      <c r="L24" s="83" t="str">
        <f t="shared" ref="L24:U24" si="7">IF(L9&lt;=L16,"ok","check")</f>
        <v>ok</v>
      </c>
      <c r="M24" s="83" t="str">
        <f t="shared" si="7"/>
        <v>ok</v>
      </c>
      <c r="N24" s="83" t="str">
        <f t="shared" si="7"/>
        <v>ok</v>
      </c>
      <c r="O24" s="83" t="str">
        <f t="shared" si="7"/>
        <v>ok</v>
      </c>
      <c r="P24" s="83" t="str">
        <f t="shared" si="7"/>
        <v>ok</v>
      </c>
      <c r="Q24" s="83" t="str">
        <f t="shared" si="7"/>
        <v>ok</v>
      </c>
      <c r="R24" s="83" t="str">
        <f t="shared" si="7"/>
        <v>ok</v>
      </c>
      <c r="S24" s="83" t="str">
        <f t="shared" si="7"/>
        <v>ok</v>
      </c>
      <c r="T24" s="83" t="str">
        <f t="shared" si="7"/>
        <v>ok</v>
      </c>
      <c r="U24" s="83" t="str">
        <f t="shared" si="7"/>
        <v>ok</v>
      </c>
      <c r="V24" s="71"/>
    </row>
    <row r="25" spans="1:37">
      <c r="A25" s="95"/>
      <c r="B25" s="83"/>
      <c r="C25" s="97">
        <f>Projection!N26/Projection!D26 -1</f>
        <v>-8.2515299088363969E-2</v>
      </c>
      <c r="D25" s="84">
        <f t="shared" si="0"/>
        <v>-8.5749608845658853E-3</v>
      </c>
      <c r="E25" s="71"/>
      <c r="G25" s="68"/>
      <c r="H25" s="68"/>
      <c r="I25" s="68"/>
      <c r="J25" s="99" t="s">
        <v>71</v>
      </c>
      <c r="K25" s="83" t="str">
        <f>IF(K16&lt;=K7,"ok","check")</f>
        <v>ok</v>
      </c>
      <c r="L25" s="83" t="str">
        <f t="shared" ref="L25:U25" si="8">IF(L16&lt;=L7,"ok","check")</f>
        <v>ok</v>
      </c>
      <c r="M25" s="83" t="str">
        <f t="shared" si="8"/>
        <v>ok</v>
      </c>
      <c r="N25" s="83" t="str">
        <f t="shared" si="8"/>
        <v>ok</v>
      </c>
      <c r="O25" s="83" t="str">
        <f t="shared" si="8"/>
        <v>ok</v>
      </c>
      <c r="P25" s="83" t="str">
        <f t="shared" si="8"/>
        <v>ok</v>
      </c>
      <c r="Q25" s="83" t="str">
        <f t="shared" si="8"/>
        <v>ok</v>
      </c>
      <c r="R25" s="83" t="str">
        <f t="shared" si="8"/>
        <v>ok</v>
      </c>
      <c r="S25" s="83" t="str">
        <f t="shared" si="8"/>
        <v>ok</v>
      </c>
      <c r="T25" s="83" t="str">
        <f t="shared" si="8"/>
        <v>ok</v>
      </c>
      <c r="U25" s="83" t="str">
        <f t="shared" si="8"/>
        <v>ok</v>
      </c>
      <c r="V25" s="71"/>
    </row>
    <row r="26" spans="1:37">
      <c r="A26" s="95"/>
      <c r="B26" s="83"/>
      <c r="C26" s="97">
        <f>Projection!N27/Projection!D27 -1</f>
        <v>0.20189332629341439</v>
      </c>
      <c r="D26" s="84">
        <f t="shared" si="0"/>
        <v>1.8559942371383364E-2</v>
      </c>
      <c r="E26" s="71"/>
      <c r="G26" s="68"/>
      <c r="H26" s="68"/>
      <c r="I26" s="68"/>
      <c r="J26" s="68"/>
      <c r="K26" s="68"/>
      <c r="L26" s="68"/>
      <c r="M26" s="68"/>
      <c r="N26" s="68"/>
      <c r="O26" s="68"/>
      <c r="P26" s="68"/>
      <c r="Q26" s="68"/>
      <c r="R26" s="68"/>
      <c r="S26" s="68"/>
      <c r="T26" s="68"/>
      <c r="U26" s="68"/>
      <c r="V26" s="71"/>
    </row>
    <row r="27" spans="1:37">
      <c r="A27" s="95"/>
      <c r="B27" s="83"/>
      <c r="C27" s="97">
        <f>Projection!N28/Projection!D28 -1</f>
        <v>0.50856467000131445</v>
      </c>
      <c r="D27" s="84">
        <f t="shared" si="0"/>
        <v>4.197282663945634E-2</v>
      </c>
      <c r="E27" s="71"/>
      <c r="G27" s="98"/>
      <c r="H27" s="69"/>
      <c r="I27" s="69"/>
      <c r="J27" s="69"/>
      <c r="K27" s="69"/>
      <c r="L27" s="69"/>
      <c r="M27" s="69"/>
      <c r="N27" s="69"/>
      <c r="O27" s="69"/>
      <c r="P27" s="69"/>
      <c r="Q27" s="69"/>
      <c r="R27" s="69"/>
      <c r="S27" s="69"/>
      <c r="T27" s="69"/>
      <c r="U27" s="69"/>
      <c r="V27" s="70"/>
    </row>
    <row r="28" spans="1:37">
      <c r="A28" s="95"/>
      <c r="B28" s="83"/>
      <c r="C28" s="97">
        <f>Projection!N29/Projection!D29 -1</f>
        <v>0.14129807502630509</v>
      </c>
      <c r="D28" s="84">
        <f t="shared" si="0"/>
        <v>1.3304353369543831E-2</v>
      </c>
      <c r="E28" s="71"/>
    </row>
    <row r="29" spans="1:37">
      <c r="A29" s="95"/>
      <c r="B29" s="83"/>
      <c r="C29" s="97">
        <f>Projection!N30/Projection!D30 -1</f>
        <v>0.71810350940804635</v>
      </c>
      <c r="D29" s="84">
        <f t="shared" si="0"/>
        <v>5.5613492261193498E-2</v>
      </c>
      <c r="E29" s="71"/>
    </row>
    <row r="30" spans="1:37">
      <c r="A30" s="95"/>
      <c r="B30" s="83"/>
      <c r="C30" s="97">
        <f>Projection!N31/Projection!D31 -1</f>
        <v>2.0247898718061657</v>
      </c>
      <c r="D30" s="84">
        <f t="shared" si="0"/>
        <v>0.11704204738945378</v>
      </c>
      <c r="E30" s="71"/>
    </row>
    <row r="31" spans="1:37">
      <c r="A31" s="95"/>
      <c r="B31" s="83"/>
      <c r="C31" s="97">
        <f>Projection!N32/Projection!D32 -1</f>
        <v>1.0096253649071483</v>
      </c>
      <c r="D31" s="84">
        <f t="shared" si="0"/>
        <v>7.2288159368595339E-2</v>
      </c>
      <c r="E31" s="71"/>
    </row>
    <row r="32" spans="1:37">
      <c r="A32" s="95"/>
      <c r="B32" s="83"/>
      <c r="C32" s="97">
        <f>Projection!N33/Projection!D33 -1</f>
        <v>0.72562234281931892</v>
      </c>
      <c r="D32" s="84">
        <f t="shared" si="0"/>
        <v>5.6074546835244821E-2</v>
      </c>
      <c r="E32" s="71"/>
    </row>
    <row r="33" spans="1:5">
      <c r="A33" s="95"/>
      <c r="B33" s="83"/>
      <c r="C33" s="97">
        <f>Projection!N34/Projection!D34 -1</f>
        <v>0.13520974579574574</v>
      </c>
      <c r="D33" s="84">
        <f t="shared" si="0"/>
        <v>1.2762497504432924E-2</v>
      </c>
      <c r="E33" s="71"/>
    </row>
    <row r="34" spans="1:5">
      <c r="A34" s="95"/>
      <c r="B34" s="83"/>
      <c r="C34" s="97">
        <f>Projection!N35/Projection!D35 -1</f>
        <v>0.50681699630877697</v>
      </c>
      <c r="D34" s="84">
        <f t="shared" si="0"/>
        <v>4.1852051005548452E-2</v>
      </c>
      <c r="E34" s="71"/>
    </row>
    <row r="35" spans="1:5">
      <c r="A35" s="95"/>
      <c r="B35" s="83"/>
      <c r="C35" s="97">
        <f>Projection!N36/Projection!D36 -1</f>
        <v>1.712044208230834</v>
      </c>
      <c r="D35" s="84">
        <f t="shared" si="0"/>
        <v>0.10491705310797372</v>
      </c>
      <c r="E35" s="71"/>
    </row>
    <row r="36" spans="1:5">
      <c r="A36" s="95"/>
      <c r="B36" s="83"/>
      <c r="C36" s="97">
        <f>Projection!N37/Projection!D37 -1</f>
        <v>1.5970094021899284</v>
      </c>
      <c r="D36" s="84">
        <f t="shared" si="0"/>
        <v>0.10013847176877944</v>
      </c>
      <c r="E36" s="71"/>
    </row>
    <row r="37" spans="1:5">
      <c r="A37" s="95"/>
      <c r="B37" s="83"/>
      <c r="C37" s="97">
        <f>Projection!N38/Projection!D38 -1</f>
        <v>9.4581439669208622E-2</v>
      </c>
      <c r="D37" s="84">
        <f t="shared" si="0"/>
        <v>9.0781631541116958E-3</v>
      </c>
      <c r="E37" s="71"/>
    </row>
    <row r="38" spans="1:5">
      <c r="A38" s="95"/>
      <c r="B38" s="83"/>
      <c r="C38" s="97">
        <f>Projection!N39/Projection!D39 -1</f>
        <v>-0.26639328178591593</v>
      </c>
      <c r="D38" s="84">
        <f t="shared" ref="D38:D69" si="9">(1+C38)^(1/ProjectionLengthYears) -1</f>
        <v>-3.050331153649577E-2</v>
      </c>
      <c r="E38" s="71"/>
    </row>
    <row r="39" spans="1:5">
      <c r="A39" s="95"/>
      <c r="B39" s="83"/>
      <c r="C39" s="97">
        <f>Projection!N40/Projection!D40 -1</f>
        <v>0.16134611126494525</v>
      </c>
      <c r="D39" s="84">
        <f t="shared" si="9"/>
        <v>1.5070407727633128E-2</v>
      </c>
      <c r="E39" s="71"/>
    </row>
    <row r="40" spans="1:5">
      <c r="A40" s="95"/>
      <c r="B40" s="83"/>
      <c r="C40" s="97">
        <f>Projection!N41/Projection!D41 -1</f>
        <v>0.24213374484463857</v>
      </c>
      <c r="D40" s="84">
        <f t="shared" si="9"/>
        <v>2.1919852277626495E-2</v>
      </c>
      <c r="E40" s="71"/>
    </row>
    <row r="41" spans="1:5">
      <c r="A41" s="95"/>
      <c r="B41" s="83"/>
      <c r="C41" s="97">
        <f>Projection!N42/Projection!D42 -1</f>
        <v>0.54507984647906693</v>
      </c>
      <c r="D41" s="84">
        <f t="shared" si="9"/>
        <v>4.4467889371438529E-2</v>
      </c>
      <c r="E41" s="71"/>
    </row>
    <row r="42" spans="1:5">
      <c r="A42" s="95"/>
      <c r="B42" s="83"/>
      <c r="C42" s="97">
        <f>Projection!N43/Projection!D43 -1</f>
        <v>0.71796797673880786</v>
      </c>
      <c r="D42" s="84">
        <f t="shared" si="9"/>
        <v>5.5605164754003011E-2</v>
      </c>
      <c r="E42" s="71"/>
    </row>
    <row r="43" spans="1:5">
      <c r="A43" s="95"/>
      <c r="B43" s="83"/>
      <c r="C43" s="97">
        <f>Projection!N44/Projection!D44 -1</f>
        <v>-0.23543366679925881</v>
      </c>
      <c r="D43" s="84">
        <f t="shared" si="9"/>
        <v>-2.6487534145754887E-2</v>
      </c>
      <c r="E43" s="71"/>
    </row>
    <row r="44" spans="1:5">
      <c r="A44" s="95"/>
      <c r="B44" s="83"/>
      <c r="C44" s="97">
        <f>Projection!N45/Projection!D45 -1</f>
        <v>-1.5656531335730528E-2</v>
      </c>
      <c r="D44" s="84">
        <f t="shared" si="9"/>
        <v>-1.576794482677002E-3</v>
      </c>
      <c r="E44" s="71"/>
    </row>
    <row r="45" spans="1:5">
      <c r="A45" s="95"/>
      <c r="B45" s="83"/>
      <c r="C45" s="97">
        <f>Projection!N46/Projection!D46 -1</f>
        <v>0.57058005232162179</v>
      </c>
      <c r="D45" s="84">
        <f t="shared" si="9"/>
        <v>4.6179023027812294E-2</v>
      </c>
      <c r="E45" s="71"/>
    </row>
    <row r="46" spans="1:5">
      <c r="A46" s="95"/>
      <c r="B46" s="83"/>
      <c r="C46" s="97">
        <f>Projection!N47/Projection!D47 -1</f>
        <v>1.7527333451553173</v>
      </c>
      <c r="D46" s="84">
        <f t="shared" si="9"/>
        <v>0.10656368717571718</v>
      </c>
      <c r="E46" s="71"/>
    </row>
    <row r="47" spans="1:5">
      <c r="A47" s="95"/>
      <c r="B47" s="83"/>
      <c r="C47" s="97">
        <f>Projection!N48/Projection!D48 -1</f>
        <v>1.0296430601957991</v>
      </c>
      <c r="D47" s="84">
        <f t="shared" si="9"/>
        <v>7.3351498182749886E-2</v>
      </c>
      <c r="E47" s="71"/>
    </row>
    <row r="48" spans="1:5">
      <c r="A48" s="95"/>
      <c r="B48" s="83"/>
      <c r="C48" s="97">
        <f>Projection!N49/Projection!D49 -1</f>
        <v>1.6223658789551396</v>
      </c>
      <c r="D48" s="84">
        <f t="shared" si="9"/>
        <v>0.10120792588016192</v>
      </c>
      <c r="E48" s="71"/>
    </row>
    <row r="49" spans="1:5">
      <c r="A49" s="95"/>
      <c r="B49" s="83"/>
      <c r="C49" s="97">
        <f>Projection!N50/Projection!D50 -1</f>
        <v>-0.32795214702730768</v>
      </c>
      <c r="D49" s="84">
        <f t="shared" si="9"/>
        <v>-3.8963195983498733E-2</v>
      </c>
      <c r="E49" s="71"/>
    </row>
    <row r="50" spans="1:5">
      <c r="A50" s="95"/>
      <c r="B50" s="83"/>
      <c r="C50" s="97">
        <f>Projection!N51/Projection!D51 -1</f>
        <v>0.60184968202839584</v>
      </c>
      <c r="D50" s="84">
        <f t="shared" si="9"/>
        <v>4.8243494802224562E-2</v>
      </c>
      <c r="E50" s="71"/>
    </row>
    <row r="51" spans="1:5">
      <c r="A51" s="95"/>
      <c r="B51" s="83"/>
      <c r="C51" s="97">
        <f>Projection!N52/Projection!D52 -1</f>
        <v>-0.49739611998173805</v>
      </c>
      <c r="D51" s="84">
        <f t="shared" si="9"/>
        <v>-6.6482242234539357E-2</v>
      </c>
      <c r="E51" s="71"/>
    </row>
    <row r="52" spans="1:5">
      <c r="A52" s="95"/>
      <c r="B52" s="83"/>
      <c r="C52" s="97">
        <f>Projection!N53/Projection!D53 -1</f>
        <v>4.452369868659539</v>
      </c>
      <c r="D52" s="84">
        <f t="shared" si="9"/>
        <v>0.18483679011967658</v>
      </c>
      <c r="E52" s="71"/>
    </row>
    <row r="53" spans="1:5">
      <c r="A53" s="95"/>
      <c r="B53" s="83"/>
      <c r="C53" s="97">
        <f>Projection!N54/Projection!D54 -1</f>
        <v>6.2517001866609467E-2</v>
      </c>
      <c r="D53" s="84">
        <f t="shared" si="9"/>
        <v>6.082485992470632E-3</v>
      </c>
      <c r="E53" s="71"/>
    </row>
    <row r="54" spans="1:5">
      <c r="A54" s="95"/>
      <c r="B54" s="83"/>
      <c r="C54" s="97">
        <f>Projection!N55/Projection!D55 -1</f>
        <v>0.14220289680784481</v>
      </c>
      <c r="D54" s="84">
        <f t="shared" si="9"/>
        <v>1.3384659552065026E-2</v>
      </c>
      <c r="E54" s="71"/>
    </row>
    <row r="55" spans="1:5">
      <c r="A55" s="95"/>
      <c r="B55" s="83"/>
      <c r="C55" s="97">
        <f>Projection!N56/Projection!D56 -1</f>
        <v>1.8528960576550064</v>
      </c>
      <c r="D55" s="84">
        <f t="shared" si="9"/>
        <v>0.11052565233501865</v>
      </c>
      <c r="E55" s="71"/>
    </row>
    <row r="56" spans="1:5">
      <c r="A56" s="95"/>
      <c r="B56" s="83"/>
      <c r="C56" s="97">
        <f>Projection!N57/Projection!D57 -1</f>
        <v>1.1212683162441359</v>
      </c>
      <c r="D56" s="84">
        <f t="shared" si="9"/>
        <v>7.8101277176911621E-2</v>
      </c>
      <c r="E56" s="71"/>
    </row>
    <row r="57" spans="1:5">
      <c r="A57" s="95"/>
      <c r="B57" s="83"/>
      <c r="C57" s="97">
        <f>Projection!N58/Projection!D58 -1</f>
        <v>-0.2748348199953311</v>
      </c>
      <c r="D57" s="84">
        <f t="shared" si="9"/>
        <v>-3.1624720651651228E-2</v>
      </c>
      <c r="E57" s="71"/>
    </row>
    <row r="58" spans="1:5">
      <c r="A58" s="95"/>
      <c r="B58" s="83"/>
      <c r="C58" s="97">
        <f>Projection!N59/Projection!D59 -1</f>
        <v>1.0040366342979397</v>
      </c>
      <c r="D58" s="84">
        <f t="shared" si="9"/>
        <v>7.1989584193855816E-2</v>
      </c>
      <c r="E58" s="71"/>
    </row>
    <row r="59" spans="1:5">
      <c r="A59" s="95"/>
      <c r="B59" s="83"/>
      <c r="C59" s="97">
        <f>Projection!N60/Projection!D60 -1</f>
        <v>0.3753051344978906</v>
      </c>
      <c r="D59" s="84">
        <f t="shared" si="9"/>
        <v>3.2380770064253772E-2</v>
      </c>
      <c r="E59" s="71"/>
    </row>
    <row r="60" spans="1:5">
      <c r="A60" s="95"/>
      <c r="B60" s="83"/>
      <c r="C60" s="97">
        <f>Projection!N61/Projection!D61 -1</f>
        <v>8.2428749486618713E-2</v>
      </c>
      <c r="D60" s="84">
        <f t="shared" si="9"/>
        <v>7.952187853565551E-3</v>
      </c>
      <c r="E60" s="71"/>
    </row>
    <row r="61" spans="1:5">
      <c r="A61" s="95"/>
      <c r="B61" s="83"/>
      <c r="C61" s="97">
        <f>Projection!N62/Projection!D62 -1</f>
        <v>0.60174894175277704</v>
      </c>
      <c r="D61" s="84">
        <f t="shared" si="9"/>
        <v>4.8236902215640143E-2</v>
      </c>
      <c r="E61" s="71"/>
    </row>
    <row r="62" spans="1:5">
      <c r="A62" s="95"/>
      <c r="B62" s="83"/>
      <c r="C62" s="97">
        <f>Projection!N63/Projection!D63 -1</f>
        <v>0.2926662966388105</v>
      </c>
      <c r="D62" s="84">
        <f t="shared" si="9"/>
        <v>2.6003028183444243E-2</v>
      </c>
      <c r="E62" s="71"/>
    </row>
    <row r="63" spans="1:5">
      <c r="A63" s="95"/>
      <c r="B63" s="83"/>
      <c r="C63" s="97">
        <f>Projection!N64/Projection!D64 -1</f>
        <v>0.65522250120525638</v>
      </c>
      <c r="D63" s="84">
        <f t="shared" si="9"/>
        <v>5.1684899397003381E-2</v>
      </c>
      <c r="E63" s="71"/>
    </row>
    <row r="64" spans="1:5">
      <c r="A64" s="95"/>
      <c r="B64" s="83"/>
      <c r="C64" s="97">
        <f>Projection!N65/Projection!D65 -1</f>
        <v>0.14087512056831075</v>
      </c>
      <c r="D64" s="84">
        <f t="shared" si="9"/>
        <v>1.3266794988216368E-2</v>
      </c>
      <c r="E64" s="71"/>
    </row>
    <row r="65" spans="1:5">
      <c r="A65" s="95"/>
      <c r="B65" s="83"/>
      <c r="C65" s="97">
        <f>Projection!N66/Projection!D66 -1</f>
        <v>0.89824575828328457</v>
      </c>
      <c r="D65" s="84">
        <f t="shared" si="9"/>
        <v>6.6191568577352866E-2</v>
      </c>
      <c r="E65" s="71"/>
    </row>
    <row r="66" spans="1:5">
      <c r="A66" s="95"/>
      <c r="B66" s="83"/>
      <c r="C66" s="97">
        <f>Projection!N67/Projection!D67 -1</f>
        <v>1.8569664624722311</v>
      </c>
      <c r="D66" s="84">
        <f t="shared" si="9"/>
        <v>0.11068399632208181</v>
      </c>
      <c r="E66" s="71"/>
    </row>
    <row r="67" spans="1:5">
      <c r="A67" s="95"/>
      <c r="B67" s="83"/>
      <c r="C67" s="97">
        <f>Projection!N68/Projection!D68 -1</f>
        <v>-0.62788368895667956</v>
      </c>
      <c r="D67" s="84">
        <f t="shared" si="9"/>
        <v>-9.412584191588047E-2</v>
      </c>
      <c r="E67" s="71"/>
    </row>
    <row r="68" spans="1:5">
      <c r="A68" s="95"/>
      <c r="B68" s="83"/>
      <c r="C68" s="97">
        <f>Projection!N69/Projection!D69 -1</f>
        <v>0.63628546546514309</v>
      </c>
      <c r="D68" s="84">
        <f t="shared" si="9"/>
        <v>5.0475450083263151E-2</v>
      </c>
      <c r="E68" s="71"/>
    </row>
    <row r="69" spans="1:5">
      <c r="A69" s="95"/>
      <c r="B69" s="83"/>
      <c r="C69" s="97">
        <f>Projection!N70/Projection!D70 -1</f>
        <v>1.3030094037601696</v>
      </c>
      <c r="D69" s="84">
        <f t="shared" si="9"/>
        <v>8.7000067688021154E-2</v>
      </c>
      <c r="E69" s="71"/>
    </row>
    <row r="70" spans="1:5">
      <c r="A70" s="95"/>
      <c r="B70" s="83"/>
      <c r="C70" s="97">
        <f>Projection!N71/Projection!D71 -1</f>
        <v>-8.7109307219469745E-2</v>
      </c>
      <c r="D70" s="84">
        <f t="shared" ref="D70:D101" si="10">(1+C70)^(1/ProjectionLengthYears) -1</f>
        <v>-9.0725070499146909E-3</v>
      </c>
      <c r="E70" s="71"/>
    </row>
    <row r="71" spans="1:5">
      <c r="A71" s="95"/>
      <c r="B71" s="83"/>
      <c r="C71" s="97">
        <f>Projection!N72/Projection!D72 -1</f>
        <v>0.39679118463666319</v>
      </c>
      <c r="D71" s="84">
        <f t="shared" si="10"/>
        <v>3.3982404996410365E-2</v>
      </c>
      <c r="E71" s="71"/>
    </row>
    <row r="72" spans="1:5">
      <c r="A72" s="95"/>
      <c r="B72" s="83"/>
      <c r="C72" s="97">
        <f>Projection!N73/Projection!D73 -1</f>
        <v>1.1682558225439559</v>
      </c>
      <c r="D72" s="84">
        <f t="shared" si="10"/>
        <v>8.0465868224427695E-2</v>
      </c>
      <c r="E72" s="71"/>
    </row>
    <row r="73" spans="1:5">
      <c r="A73" s="95"/>
      <c r="B73" s="83"/>
      <c r="C73" s="97">
        <f>Projection!N74/Projection!D74 -1</f>
        <v>0.68925319422353204</v>
      </c>
      <c r="D73" s="84">
        <f t="shared" si="10"/>
        <v>5.382737243430058E-2</v>
      </c>
      <c r="E73" s="71"/>
    </row>
    <row r="74" spans="1:5">
      <c r="A74" s="95"/>
      <c r="B74" s="83"/>
      <c r="C74" s="97">
        <f>Projection!N75/Projection!D75 -1</f>
        <v>0.73556472755414037</v>
      </c>
      <c r="D74" s="84">
        <f t="shared" si="10"/>
        <v>5.6681445269106012E-2</v>
      </c>
      <c r="E74" s="71"/>
    </row>
    <row r="75" spans="1:5">
      <c r="A75" s="95"/>
      <c r="B75" s="83"/>
      <c r="C75" s="97">
        <f>Projection!N76/Projection!D76 -1</f>
        <v>0.4075173667393388</v>
      </c>
      <c r="D75" s="84">
        <f t="shared" si="10"/>
        <v>3.4773686029926809E-2</v>
      </c>
      <c r="E75" s="71"/>
    </row>
    <row r="76" spans="1:5">
      <c r="A76" s="95"/>
      <c r="B76" s="83"/>
      <c r="C76" s="97">
        <f>Projection!N77/Projection!D77 -1</f>
        <v>-0.28085016091730985</v>
      </c>
      <c r="D76" s="84">
        <f t="shared" si="10"/>
        <v>-3.2431015072335589E-2</v>
      </c>
      <c r="E76" s="71"/>
    </row>
    <row r="77" spans="1:5">
      <c r="A77" s="95"/>
      <c r="B77" s="83"/>
      <c r="C77" s="97">
        <f>Projection!N78/Projection!D78 -1</f>
        <v>3.5356401624373026</v>
      </c>
      <c r="D77" s="84">
        <f t="shared" si="10"/>
        <v>0.16322535292273121</v>
      </c>
      <c r="E77" s="71"/>
    </row>
    <row r="78" spans="1:5">
      <c r="A78" s="95"/>
      <c r="B78" s="83"/>
      <c r="C78" s="97">
        <f>Projection!N79/Projection!D79 -1</f>
        <v>0.1764907640726725</v>
      </c>
      <c r="D78" s="84">
        <f t="shared" si="10"/>
        <v>1.6386416328992848E-2</v>
      </c>
      <c r="E78" s="71"/>
    </row>
    <row r="79" spans="1:5">
      <c r="A79" s="95"/>
      <c r="B79" s="83"/>
      <c r="C79" s="97">
        <f>Projection!N80/Projection!D80 -1</f>
        <v>0.21764299133257548</v>
      </c>
      <c r="D79" s="84">
        <f t="shared" si="10"/>
        <v>1.9886862040285669E-2</v>
      </c>
      <c r="E79" s="71"/>
    </row>
    <row r="80" spans="1:5">
      <c r="A80" s="95"/>
      <c r="B80" s="83"/>
      <c r="C80" s="97">
        <f>Projection!N81/Projection!D81 -1</f>
        <v>-0.45520631872586614</v>
      </c>
      <c r="D80" s="84">
        <f t="shared" si="10"/>
        <v>-5.8927232337974145E-2</v>
      </c>
      <c r="E80" s="71"/>
    </row>
    <row r="81" spans="1:5">
      <c r="A81" s="95"/>
      <c r="B81" s="83"/>
      <c r="C81" s="97">
        <f>Projection!N82/Projection!D82 -1</f>
        <v>0.1868644688442691</v>
      </c>
      <c r="D81" s="84">
        <f t="shared" si="10"/>
        <v>1.7279078561455163E-2</v>
      </c>
      <c r="E81" s="71"/>
    </row>
    <row r="82" spans="1:5">
      <c r="A82" s="95"/>
      <c r="B82" s="83"/>
      <c r="C82" s="97">
        <f>Projection!N83/Projection!D83 -1</f>
        <v>1.801726988058777</v>
      </c>
      <c r="D82" s="84">
        <f t="shared" si="10"/>
        <v>0.10851757072410995</v>
      </c>
      <c r="E82" s="71"/>
    </row>
    <row r="83" spans="1:5">
      <c r="A83" s="95"/>
      <c r="B83" s="83"/>
      <c r="C83" s="97">
        <f>Projection!N84/Projection!D84 -1</f>
        <v>6.1667846109408098</v>
      </c>
      <c r="D83" s="84">
        <f t="shared" si="10"/>
        <v>0.21767793162346671</v>
      </c>
      <c r="E83" s="71"/>
    </row>
    <row r="84" spans="1:5">
      <c r="A84" s="95"/>
      <c r="B84" s="83"/>
      <c r="C84" s="97">
        <f>Projection!N85/Projection!D85 -1</f>
        <v>0.81224190191195822</v>
      </c>
      <c r="D84" s="84">
        <f t="shared" si="10"/>
        <v>6.1259563203249989E-2</v>
      </c>
      <c r="E84" s="71"/>
    </row>
    <row r="85" spans="1:5">
      <c r="A85" s="95"/>
      <c r="B85" s="83"/>
      <c r="C85" s="97">
        <f>Projection!N86/Projection!D86 -1</f>
        <v>1.3174304678317172</v>
      </c>
      <c r="D85" s="84">
        <f t="shared" si="10"/>
        <v>8.7678818743019304E-2</v>
      </c>
      <c r="E85" s="71"/>
    </row>
    <row r="86" spans="1:5">
      <c r="A86" s="95"/>
      <c r="B86" s="83"/>
      <c r="C86" s="97">
        <f>Projection!N87/Projection!D87 -1</f>
        <v>-0.2511377172981949</v>
      </c>
      <c r="D86" s="84">
        <f t="shared" si="10"/>
        <v>-2.8505836652092054E-2</v>
      </c>
      <c r="E86" s="71"/>
    </row>
    <row r="87" spans="1:5">
      <c r="A87" s="95"/>
      <c r="B87" s="83"/>
      <c r="C87" s="97">
        <f>Projection!N88/Projection!D88 -1</f>
        <v>-5.5309351153856046E-2</v>
      </c>
      <c r="D87" s="84">
        <f t="shared" si="10"/>
        <v>-5.6736199601052917E-3</v>
      </c>
      <c r="E87" s="71"/>
    </row>
    <row r="88" spans="1:5">
      <c r="A88" s="95"/>
      <c r="B88" s="83"/>
      <c r="C88" s="97">
        <f>Projection!N89/Projection!D89 -1</f>
        <v>-4.613616855961622E-3</v>
      </c>
      <c r="D88" s="84">
        <f t="shared" si="10"/>
        <v>-4.6232233949805579E-4</v>
      </c>
      <c r="E88" s="71"/>
    </row>
    <row r="89" spans="1:5">
      <c r="A89" s="95"/>
      <c r="B89" s="83"/>
      <c r="C89" s="97">
        <f>Projection!N90/Projection!D90 -1</f>
        <v>0.65466805215669477</v>
      </c>
      <c r="D89" s="84">
        <f t="shared" si="10"/>
        <v>5.1649665849533788E-2</v>
      </c>
      <c r="E89" s="71"/>
    </row>
    <row r="90" spans="1:5">
      <c r="A90" s="95"/>
      <c r="B90" s="83"/>
      <c r="C90" s="97">
        <f>Projection!N91/Projection!D91 -1</f>
        <v>1.6834230749590069</v>
      </c>
      <c r="D90" s="84">
        <f t="shared" si="10"/>
        <v>0.10374542131530307</v>
      </c>
      <c r="E90" s="71"/>
    </row>
    <row r="91" spans="1:5">
      <c r="A91" s="95"/>
      <c r="B91" s="83"/>
      <c r="C91" s="97">
        <f>Projection!N92/Projection!D92 -1</f>
        <v>2.562961794637463</v>
      </c>
      <c r="D91" s="84">
        <f t="shared" si="10"/>
        <v>0.13548425505315431</v>
      </c>
      <c r="E91" s="71"/>
    </row>
    <row r="92" spans="1:5">
      <c r="A92" s="95"/>
      <c r="B92" s="83"/>
      <c r="C92" s="97">
        <f>Projection!N93/Projection!D93 -1</f>
        <v>0.69514798422773194</v>
      </c>
      <c r="D92" s="84">
        <f t="shared" si="10"/>
        <v>5.4194538094395783E-2</v>
      </c>
      <c r="E92" s="71"/>
    </row>
    <row r="93" spans="1:5">
      <c r="A93" s="95"/>
      <c r="B93" s="83"/>
      <c r="C93" s="97">
        <f>Projection!N94/Projection!D94 -1</f>
        <v>1.358168874238781</v>
      </c>
      <c r="D93" s="84">
        <f t="shared" si="10"/>
        <v>8.9575904088593727E-2</v>
      </c>
      <c r="E93" s="71"/>
    </row>
    <row r="94" spans="1:5">
      <c r="A94" s="95"/>
      <c r="B94" s="83"/>
      <c r="C94" s="97">
        <f>Projection!N95/Projection!D95 -1</f>
        <v>0.15036128783637182</v>
      </c>
      <c r="D94" s="84">
        <f t="shared" si="10"/>
        <v>1.4106171832803716E-2</v>
      </c>
      <c r="E94" s="71"/>
    </row>
    <row r="95" spans="1:5">
      <c r="A95" s="95"/>
      <c r="B95" s="83"/>
      <c r="C95" s="97">
        <f>Projection!N96/Projection!D96 -1</f>
        <v>0.4195438366374431</v>
      </c>
      <c r="D95" s="84">
        <f t="shared" si="10"/>
        <v>3.565446252245863E-2</v>
      </c>
      <c r="E95" s="71"/>
    </row>
    <row r="96" spans="1:5">
      <c r="A96" s="95"/>
      <c r="B96" s="83"/>
      <c r="C96" s="97">
        <f>Projection!N97/Projection!D97 -1</f>
        <v>0.72829432980552844</v>
      </c>
      <c r="D96" s="84">
        <f t="shared" si="10"/>
        <v>5.6237957628624713E-2</v>
      </c>
      <c r="E96" s="71"/>
    </row>
    <row r="97" spans="1:5">
      <c r="A97" s="95"/>
      <c r="B97" s="83"/>
      <c r="C97" s="97">
        <f>Projection!N98/Projection!D98 -1</f>
        <v>0.74580806200043637</v>
      </c>
      <c r="D97" s="84">
        <f t="shared" si="10"/>
        <v>5.7303450365193687E-2</v>
      </c>
      <c r="E97" s="71"/>
    </row>
    <row r="98" spans="1:5">
      <c r="A98" s="95"/>
      <c r="B98" s="83"/>
      <c r="C98" s="97">
        <f>Projection!N99/Projection!D99 -1</f>
        <v>-0.16940222302546859</v>
      </c>
      <c r="D98" s="84">
        <f t="shared" si="10"/>
        <v>-1.8389768567315001E-2</v>
      </c>
      <c r="E98" s="71"/>
    </row>
    <row r="99" spans="1:5">
      <c r="A99" s="95"/>
      <c r="B99" s="83"/>
      <c r="C99" s="97">
        <f>Projection!N100/Projection!D100 -1</f>
        <v>1.3371544261142518</v>
      </c>
      <c r="D99" s="84">
        <f t="shared" si="10"/>
        <v>8.8601030031226768E-2</v>
      </c>
      <c r="E99" s="71"/>
    </row>
    <row r="100" spans="1:5">
      <c r="A100" s="95"/>
      <c r="B100" s="83"/>
      <c r="C100" s="97">
        <f>Projection!N101/Projection!D101 -1</f>
        <v>0.47642517346693469</v>
      </c>
      <c r="D100" s="84">
        <f t="shared" si="10"/>
        <v>3.9731362252478197E-2</v>
      </c>
      <c r="E100" s="71"/>
    </row>
    <row r="101" spans="1:5">
      <c r="A101" s="95"/>
      <c r="B101" s="83"/>
      <c r="C101" s="97">
        <f>Projection!N102/Projection!D102 -1</f>
        <v>2.4216655079674996</v>
      </c>
      <c r="D101" s="84">
        <f t="shared" si="10"/>
        <v>0.13089883112672229</v>
      </c>
      <c r="E101" s="71"/>
    </row>
    <row r="102" spans="1:5">
      <c r="A102" s="95"/>
      <c r="B102" s="83"/>
      <c r="C102" s="97">
        <f>Projection!N103/Projection!D103 -1</f>
        <v>0.65273031185565777</v>
      </c>
      <c r="D102" s="84">
        <f>(1+C102)^(1/ProjectionLengthYears) -1</f>
        <v>5.1526444842477259E-2</v>
      </c>
      <c r="E102" s="71"/>
    </row>
    <row r="103" spans="1:5">
      <c r="A103" s="95"/>
      <c r="B103" s="83"/>
      <c r="C103" s="97">
        <f>Projection!N104/Projection!D104 -1</f>
        <v>1.337803723371032</v>
      </c>
      <c r="D103" s="84">
        <f>(1+C103)^(1/ProjectionLengthYears) -1</f>
        <v>8.8631269253121259E-2</v>
      </c>
      <c r="E103" s="71"/>
    </row>
    <row r="104" spans="1:5">
      <c r="A104" s="95"/>
      <c r="B104" s="83"/>
      <c r="C104" s="97">
        <f>Projection!N105/Projection!D105 -1</f>
        <v>0.94090585464105536</v>
      </c>
      <c r="D104" s="84">
        <f>(1+C104)^(1/ProjectionLengthYears) -1</f>
        <v>6.8563774439447611E-2</v>
      </c>
      <c r="E104" s="71"/>
    </row>
    <row r="105" spans="1:5">
      <c r="A105" s="95"/>
      <c r="B105" s="83"/>
      <c r="C105" s="97">
        <f>Projection!N106/Projection!D106 -1</f>
        <v>-0.23724534037669642</v>
      </c>
      <c r="D105" s="84">
        <f>(1+C105)^(1/ProjectionLengthYears) -1</f>
        <v>-2.6718458549854662E-2</v>
      </c>
      <c r="E105" s="71"/>
    </row>
    <row r="106" spans="1:5">
      <c r="A106" s="95"/>
      <c r="B106" s="69"/>
      <c r="C106" s="69"/>
      <c r="D106" s="69"/>
      <c r="E106" s="70"/>
    </row>
    <row r="107" spans="1:5">
      <c r="A107" s="9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96"/>
  <sheetViews>
    <sheetView showGridLines="0" workbookViewId="0"/>
  </sheetViews>
  <sheetFormatPr defaultRowHeight="15"/>
  <cols>
    <col min="2" max="2" width="8.5703125" customWidth="1"/>
    <col min="3" max="3" width="29.140625" customWidth="1"/>
    <col min="4" max="4" width="27.42578125" customWidth="1"/>
    <col min="5" max="5" width="14.85546875" bestFit="1" customWidth="1"/>
    <col min="6" max="6" width="27.7109375" customWidth="1"/>
    <col min="7" max="7" width="8.5703125" customWidth="1"/>
    <col min="8" max="8" width="8.28515625" customWidth="1"/>
    <col min="10" max="10" width="31" customWidth="1"/>
  </cols>
  <sheetData>
    <row r="1" spans="1:11">
      <c r="B1" s="73"/>
      <c r="C1" s="73"/>
      <c r="D1" s="73"/>
      <c r="E1" s="73"/>
      <c r="F1" s="73"/>
      <c r="G1" s="73"/>
      <c r="H1" s="73"/>
      <c r="I1" s="73"/>
      <c r="J1" s="73"/>
      <c r="K1" s="73"/>
    </row>
    <row r="2" spans="1:11">
      <c r="A2" s="74"/>
      <c r="B2" s="68"/>
      <c r="C2" s="68"/>
      <c r="D2" s="68"/>
      <c r="E2" s="68"/>
      <c r="F2" s="68"/>
      <c r="G2" s="71"/>
    </row>
    <row r="3" spans="1:11" ht="18" thickBot="1">
      <c r="A3" s="74"/>
      <c r="B3" s="68"/>
      <c r="C3" s="75" t="s">
        <v>48</v>
      </c>
      <c r="D3" s="75"/>
      <c r="E3" s="75"/>
      <c r="F3" s="75"/>
      <c r="G3" s="71"/>
    </row>
    <row r="4" spans="1:11" ht="15.75" thickTop="1">
      <c r="A4" s="74"/>
      <c r="B4" s="68"/>
      <c r="C4" s="68"/>
      <c r="D4" s="68"/>
      <c r="E4" s="68"/>
      <c r="F4" s="68"/>
      <c r="G4" s="71"/>
    </row>
    <row r="5" spans="1:11">
      <c r="A5" s="74"/>
      <c r="B5" s="68"/>
      <c r="C5" s="90" t="s">
        <v>135</v>
      </c>
      <c r="D5" s="68"/>
      <c r="E5" s="68"/>
      <c r="F5" s="68"/>
      <c r="G5" s="71"/>
    </row>
    <row r="6" spans="1:11">
      <c r="A6" s="74"/>
      <c r="B6" s="68"/>
      <c r="C6" s="68"/>
      <c r="D6" s="85" t="s">
        <v>137</v>
      </c>
      <c r="E6" s="85" t="s">
        <v>138</v>
      </c>
      <c r="F6" s="68"/>
      <c r="G6" s="71"/>
    </row>
    <row r="7" spans="1:11">
      <c r="A7" s="74"/>
      <c r="B7" s="68"/>
      <c r="C7" s="85" t="s">
        <v>136</v>
      </c>
      <c r="D7" s="68">
        <f>ProjectionLengthYears</f>
        <v>10</v>
      </c>
      <c r="E7" s="68">
        <f>COLUMNS(ReturnData)</f>
        <v>10</v>
      </c>
      <c r="F7" s="68" t="str">
        <f>IF(D7=E7,"ok","check")</f>
        <v>ok</v>
      </c>
      <c r="G7" s="71"/>
    </row>
    <row r="8" spans="1:11">
      <c r="A8" s="74"/>
      <c r="B8" s="68"/>
      <c r="C8" s="68"/>
      <c r="D8" s="68"/>
      <c r="E8" s="68"/>
      <c r="F8" s="68"/>
      <c r="G8" s="71"/>
    </row>
    <row r="9" spans="1:11">
      <c r="A9" s="74"/>
      <c r="B9" s="68"/>
      <c r="C9" s="85" t="s">
        <v>127</v>
      </c>
      <c r="D9" s="68">
        <f>NumberSims</f>
        <v>100</v>
      </c>
      <c r="E9" s="68">
        <f>ROWS(ReturnData)</f>
        <v>100</v>
      </c>
      <c r="F9" s="68" t="str">
        <f>IF(D9=E9,"ok","check")</f>
        <v>ok</v>
      </c>
      <c r="G9" s="71"/>
    </row>
    <row r="10" spans="1:11">
      <c r="A10" s="74"/>
      <c r="B10" s="68"/>
      <c r="C10" s="68"/>
      <c r="D10" s="68"/>
      <c r="E10" s="68"/>
      <c r="F10" s="85"/>
      <c r="G10" s="71"/>
    </row>
    <row r="11" spans="1:11">
      <c r="A11" s="74"/>
      <c r="B11" s="68"/>
      <c r="C11" s="90" t="s">
        <v>134</v>
      </c>
      <c r="D11" s="90"/>
      <c r="E11" s="90"/>
      <c r="F11" s="90" t="s">
        <v>133</v>
      </c>
      <c r="G11" s="71"/>
    </row>
    <row r="12" spans="1:11" ht="105">
      <c r="A12" s="74"/>
      <c r="B12" s="68"/>
      <c r="C12" s="68" t="s">
        <v>49</v>
      </c>
      <c r="D12" s="84">
        <f>MAX(ReturnData)</f>
        <v>0.78200000000000003</v>
      </c>
      <c r="E12" s="68"/>
      <c r="F12" s="107" t="s">
        <v>122</v>
      </c>
      <c r="G12" s="71"/>
    </row>
    <row r="13" spans="1:11">
      <c r="A13" s="74"/>
      <c r="B13" s="68"/>
      <c r="C13" s="68"/>
      <c r="D13" s="68"/>
      <c r="E13" s="68"/>
      <c r="F13" s="102"/>
      <c r="G13" s="71"/>
    </row>
    <row r="14" spans="1:11">
      <c r="A14" s="74"/>
      <c r="B14" s="68"/>
      <c r="C14" s="68" t="s">
        <v>50</v>
      </c>
      <c r="D14" s="84">
        <f>MIN(ReturnData)</f>
        <v>-0.47</v>
      </c>
      <c r="E14" s="84"/>
      <c r="F14" s="107" t="s">
        <v>94</v>
      </c>
      <c r="G14" s="71"/>
    </row>
    <row r="15" spans="1:11">
      <c r="A15" s="74"/>
      <c r="B15" s="68"/>
      <c r="C15" s="68"/>
      <c r="D15" s="68"/>
      <c r="E15" s="68"/>
      <c r="F15" s="102"/>
      <c r="G15" s="71"/>
    </row>
    <row r="16" spans="1:11">
      <c r="A16" s="74"/>
      <c r="B16" s="68"/>
      <c r="C16" s="68" t="s">
        <v>51</v>
      </c>
      <c r="D16" s="84">
        <f>AVERAGE(ReturnData)</f>
        <v>6.1268999999999935E-2</v>
      </c>
      <c r="E16" s="84"/>
      <c r="F16" s="107" t="s">
        <v>95</v>
      </c>
      <c r="G16" s="71"/>
    </row>
    <row r="17" spans="1:7">
      <c r="A17" s="74"/>
      <c r="B17" s="68"/>
      <c r="C17" s="68"/>
      <c r="D17" s="84"/>
      <c r="E17" s="84"/>
      <c r="F17" s="108"/>
      <c r="G17" s="71"/>
    </row>
    <row r="18" spans="1:7">
      <c r="A18" s="74"/>
      <c r="B18" s="68"/>
      <c r="C18" s="68" t="s">
        <v>52</v>
      </c>
      <c r="D18" s="84" t="e">
        <f ca="1">_xlfn.STDEV.P(ReturnData)</f>
        <v>#NAME?</v>
      </c>
      <c r="E18" s="84"/>
      <c r="F18" s="107" t="s">
        <v>95</v>
      </c>
      <c r="G18" s="71"/>
    </row>
    <row r="19" spans="1:7">
      <c r="A19" s="74"/>
      <c r="B19" s="68"/>
      <c r="C19" s="68"/>
      <c r="D19" s="68"/>
      <c r="E19" s="68"/>
      <c r="F19" s="102"/>
      <c r="G19" s="71"/>
    </row>
    <row r="20" spans="1:7" ht="30">
      <c r="A20" s="74"/>
      <c r="B20" s="68"/>
      <c r="C20" s="68" t="s">
        <v>53</v>
      </c>
      <c r="D20" s="68">
        <f>COUNT(ReturnData)</f>
        <v>1000</v>
      </c>
      <c r="E20" s="68"/>
      <c r="F20" s="101" t="s">
        <v>96</v>
      </c>
      <c r="G20" s="71"/>
    </row>
    <row r="21" spans="1:7">
      <c r="A21" s="74"/>
      <c r="B21" s="68"/>
      <c r="C21" s="68"/>
      <c r="D21" s="68"/>
      <c r="E21" s="68"/>
      <c r="F21" s="102"/>
      <c r="G21" s="71"/>
    </row>
    <row r="22" spans="1:7">
      <c r="A22" s="74"/>
      <c r="B22" s="68"/>
      <c r="C22" s="68"/>
      <c r="D22" s="68"/>
      <c r="E22" s="68"/>
      <c r="F22" s="102"/>
      <c r="G22" s="71"/>
    </row>
    <row r="23" spans="1:7">
      <c r="A23" s="74"/>
      <c r="B23" s="68"/>
      <c r="C23" s="85" t="s">
        <v>97</v>
      </c>
      <c r="D23" s="68"/>
      <c r="E23" s="68"/>
      <c r="F23" s="102"/>
      <c r="G23" s="71"/>
    </row>
    <row r="24" spans="1:7">
      <c r="A24" s="74"/>
      <c r="B24" s="68"/>
      <c r="C24" s="85" t="s">
        <v>98</v>
      </c>
      <c r="D24" s="68">
        <f>COUNTIF(ReturnData,Checks!C24)</f>
        <v>1</v>
      </c>
      <c r="E24" s="68"/>
      <c r="F24" s="158" t="s">
        <v>111</v>
      </c>
      <c r="G24" s="71"/>
    </row>
    <row r="25" spans="1:7">
      <c r="A25" s="74"/>
      <c r="B25" s="68"/>
      <c r="C25" s="85" t="s">
        <v>99</v>
      </c>
      <c r="D25" s="68">
        <f>COUNTIF(ReturnData,Checks!C25)</f>
        <v>21</v>
      </c>
      <c r="E25" s="68"/>
      <c r="F25" s="158"/>
      <c r="G25" s="71"/>
    </row>
    <row r="26" spans="1:7">
      <c r="A26" s="74"/>
      <c r="B26" s="68"/>
      <c r="C26" s="85" t="s">
        <v>100</v>
      </c>
      <c r="D26" s="68">
        <f>COUNTIF(ReturnData,Checks!C26)</f>
        <v>86</v>
      </c>
      <c r="E26" s="68"/>
      <c r="F26" s="158"/>
      <c r="G26" s="71"/>
    </row>
    <row r="27" spans="1:7">
      <c r="A27" s="74"/>
      <c r="B27" s="68"/>
      <c r="C27" s="85" t="s">
        <v>101</v>
      </c>
      <c r="D27" s="68">
        <f>COUNTIF(ReturnData,Checks!C27)</f>
        <v>219</v>
      </c>
      <c r="E27" s="68"/>
      <c r="F27" s="158"/>
      <c r="G27" s="71"/>
    </row>
    <row r="28" spans="1:7">
      <c r="A28" s="74"/>
      <c r="B28" s="68"/>
      <c r="C28" s="85" t="s">
        <v>103</v>
      </c>
      <c r="D28" s="68">
        <f>COUNTIF(ReturnData,Checks!C28)</f>
        <v>397</v>
      </c>
      <c r="E28" s="68"/>
      <c r="F28" s="158"/>
      <c r="G28" s="71"/>
    </row>
    <row r="29" spans="1:7">
      <c r="A29" s="74"/>
      <c r="B29" s="68"/>
      <c r="C29" s="85" t="s">
        <v>102</v>
      </c>
      <c r="D29" s="68">
        <f>COUNTIF(ReturnData,Checks!C29)</f>
        <v>612</v>
      </c>
      <c r="E29" s="68"/>
      <c r="F29" s="158"/>
      <c r="G29" s="71"/>
    </row>
    <row r="30" spans="1:7">
      <c r="A30" s="74"/>
      <c r="B30" s="68"/>
      <c r="C30" s="85" t="s">
        <v>104</v>
      </c>
      <c r="D30" s="68">
        <f>COUNTIF(ReturnData,Checks!C30)</f>
        <v>765</v>
      </c>
      <c r="E30" s="68"/>
      <c r="F30" s="158"/>
      <c r="G30" s="71"/>
    </row>
    <row r="31" spans="1:7">
      <c r="A31" s="74"/>
      <c r="B31" s="68"/>
      <c r="C31" s="85" t="s">
        <v>105</v>
      </c>
      <c r="D31" s="68">
        <f>COUNTIF(ReturnData,Checks!C31)</f>
        <v>884</v>
      </c>
      <c r="E31" s="68"/>
      <c r="F31" s="158"/>
      <c r="G31" s="71"/>
    </row>
    <row r="32" spans="1:7">
      <c r="A32" s="74"/>
      <c r="B32" s="68"/>
      <c r="C32" s="85" t="s">
        <v>106</v>
      </c>
      <c r="D32" s="68">
        <f>COUNTIF(ReturnData,Checks!C32)</f>
        <v>945</v>
      </c>
      <c r="E32" s="68"/>
      <c r="F32" s="158"/>
      <c r="G32" s="71"/>
    </row>
    <row r="33" spans="1:7">
      <c r="A33" s="74"/>
      <c r="B33" s="68"/>
      <c r="C33" s="85" t="s">
        <v>107</v>
      </c>
      <c r="D33" s="68">
        <f>COUNTIF(ReturnData,Checks!C33)</f>
        <v>975</v>
      </c>
      <c r="E33" s="68"/>
      <c r="F33" s="158"/>
      <c r="G33" s="71"/>
    </row>
    <row r="34" spans="1:7">
      <c r="A34" s="74"/>
      <c r="B34" s="68"/>
      <c r="C34" s="85" t="s">
        <v>108</v>
      </c>
      <c r="D34" s="68">
        <f>COUNTIF(ReturnData,Checks!C34)</f>
        <v>991</v>
      </c>
      <c r="E34" s="68"/>
      <c r="F34" s="158"/>
      <c r="G34" s="71"/>
    </row>
    <row r="35" spans="1:7">
      <c r="A35" s="74"/>
      <c r="B35" s="68"/>
      <c r="C35" s="85" t="s">
        <v>109</v>
      </c>
      <c r="D35" s="68">
        <f>COUNTIF(ReturnData,Checks!C35)</f>
        <v>998</v>
      </c>
      <c r="E35" s="68"/>
      <c r="F35" s="158"/>
      <c r="G35" s="71"/>
    </row>
    <row r="36" spans="1:7">
      <c r="A36" s="74"/>
      <c r="B36" s="68"/>
      <c r="C36" s="85" t="s">
        <v>110</v>
      </c>
      <c r="D36" s="68">
        <f>COUNTIF(ReturnData,Checks!C36)</f>
        <v>1000</v>
      </c>
      <c r="E36" s="68"/>
      <c r="F36" s="158"/>
      <c r="G36" s="71"/>
    </row>
    <row r="37" spans="1:7">
      <c r="A37" s="74"/>
      <c r="B37" s="68"/>
      <c r="C37" s="68"/>
      <c r="D37" s="68"/>
      <c r="E37" s="68"/>
      <c r="F37" s="102"/>
      <c r="G37" s="71"/>
    </row>
    <row r="38" spans="1:7">
      <c r="A38" s="74"/>
      <c r="B38" s="68"/>
      <c r="C38" s="85" t="s">
        <v>151</v>
      </c>
      <c r="D38" s="68"/>
      <c r="E38" s="68"/>
      <c r="F38" s="101"/>
      <c r="G38" s="71"/>
    </row>
    <row r="39" spans="1:7">
      <c r="A39" s="74"/>
      <c r="B39" s="68"/>
      <c r="C39" s="85" t="s">
        <v>152</v>
      </c>
      <c r="D39" s="68"/>
      <c r="E39" s="68"/>
      <c r="F39" s="101"/>
      <c r="G39" s="71"/>
    </row>
    <row r="40" spans="1:7">
      <c r="A40" s="74"/>
      <c r="B40" s="68"/>
      <c r="C40" s="68"/>
      <c r="D40" s="68"/>
      <c r="E40" s="68"/>
      <c r="F40" s="101"/>
      <c r="G40" s="71"/>
    </row>
    <row r="41" spans="1:7">
      <c r="A41" s="74"/>
      <c r="B41" s="68"/>
      <c r="C41" s="68"/>
      <c r="D41" s="68"/>
      <c r="E41" s="68"/>
      <c r="F41" s="102"/>
      <c r="G41" s="71"/>
    </row>
    <row r="42" spans="1:7">
      <c r="A42" s="74"/>
      <c r="B42" s="69"/>
      <c r="C42" s="69"/>
      <c r="D42" s="69"/>
      <c r="E42" s="69"/>
      <c r="F42" s="109"/>
      <c r="G42" s="70"/>
    </row>
    <row r="43" spans="1:7">
      <c r="B43" s="100"/>
      <c r="C43" s="100"/>
      <c r="D43" s="100"/>
      <c r="E43" s="100"/>
      <c r="F43" s="100"/>
      <c r="G43" s="100"/>
    </row>
    <row r="44" spans="1:7">
      <c r="A44" s="74"/>
      <c r="B44" s="68"/>
      <c r="C44" s="68"/>
      <c r="D44" s="68"/>
      <c r="E44" s="68"/>
      <c r="F44" s="71"/>
    </row>
    <row r="45" spans="1:7">
      <c r="A45" s="74"/>
      <c r="B45" s="68"/>
      <c r="C45" s="68" t="s">
        <v>54</v>
      </c>
      <c r="D45" s="68"/>
      <c r="E45" s="68"/>
      <c r="F45" s="71"/>
    </row>
    <row r="46" spans="1:7">
      <c r="A46" s="74"/>
      <c r="B46" s="68"/>
      <c r="C46" s="68"/>
      <c r="D46" s="96">
        <f>AVERAGE(Projection!N7:N106)</f>
        <v>17508.991587061744</v>
      </c>
      <c r="E46" s="68"/>
      <c r="F46" s="71"/>
    </row>
    <row r="47" spans="1:7">
      <c r="A47" s="74"/>
      <c r="B47" s="68"/>
      <c r="C47" s="68"/>
      <c r="D47" s="68"/>
      <c r="E47" s="68"/>
      <c r="F47" s="71"/>
    </row>
    <row r="48" spans="1:7">
      <c r="A48" s="74"/>
      <c r="B48" s="68"/>
      <c r="C48" s="68" t="s">
        <v>55</v>
      </c>
      <c r="D48" s="68"/>
      <c r="E48" s="68"/>
      <c r="F48" s="71"/>
    </row>
    <row r="49" spans="1:9">
      <c r="A49" s="74"/>
      <c r="B49" s="68"/>
      <c r="C49" s="68"/>
      <c r="D49" s="96">
        <f>(1+D16)^10 * StartAssetValue</f>
        <v>18124.030542201672</v>
      </c>
      <c r="E49" s="68"/>
      <c r="F49" s="71"/>
    </row>
    <row r="50" spans="1:9">
      <c r="A50" s="74"/>
      <c r="B50" s="68"/>
      <c r="C50" s="68"/>
      <c r="D50" s="68"/>
      <c r="E50" s="68"/>
      <c r="F50" s="71"/>
    </row>
    <row r="51" spans="1:9">
      <c r="A51" s="74"/>
      <c r="B51" s="68"/>
      <c r="C51" s="68" t="s">
        <v>56</v>
      </c>
      <c r="D51" s="68"/>
      <c r="E51" s="68"/>
      <c r="F51" s="71"/>
    </row>
    <row r="52" spans="1:9">
      <c r="A52" s="74"/>
      <c r="B52" s="68"/>
      <c r="C52" s="68"/>
      <c r="D52" s="88">
        <f>D46/D49 -1</f>
        <v>-3.3934998824230234E-2</v>
      </c>
      <c r="E52" s="68"/>
      <c r="F52" s="71"/>
    </row>
    <row r="53" spans="1:9">
      <c r="A53" s="74"/>
      <c r="B53" s="68"/>
      <c r="C53" s="68" t="s">
        <v>57</v>
      </c>
      <c r="D53" s="68"/>
      <c r="E53" s="68"/>
      <c r="F53" s="71"/>
    </row>
    <row r="54" spans="1:9">
      <c r="A54" s="74"/>
      <c r="B54" s="69"/>
      <c r="C54" s="69"/>
      <c r="D54" s="69"/>
      <c r="E54" s="69"/>
      <c r="F54" s="70"/>
      <c r="G54" s="111"/>
      <c r="H54" s="112"/>
      <c r="I54" s="112"/>
    </row>
    <row r="55" spans="1:9">
      <c r="B55" s="100"/>
      <c r="C55" s="100"/>
      <c r="D55" s="100"/>
      <c r="E55" s="100"/>
      <c r="F55" s="100"/>
      <c r="G55" s="73"/>
      <c r="H55" s="73"/>
      <c r="I55" s="73"/>
    </row>
    <row r="56" spans="1:9">
      <c r="A56" s="74"/>
      <c r="B56" s="68"/>
      <c r="C56" s="68"/>
      <c r="D56" s="68"/>
      <c r="E56" s="68"/>
      <c r="F56" s="68"/>
      <c r="G56" s="71"/>
    </row>
    <row r="57" spans="1:9" ht="18" thickBot="1">
      <c r="A57" s="74"/>
      <c r="B57" s="68"/>
      <c r="C57" s="75" t="s">
        <v>68</v>
      </c>
      <c r="D57" s="75"/>
      <c r="E57" s="75"/>
      <c r="F57" s="75"/>
      <c r="G57" s="71"/>
    </row>
    <row r="58" spans="1:9" ht="15.75" thickTop="1">
      <c r="A58" s="74"/>
      <c r="B58" s="68"/>
      <c r="C58" s="68"/>
      <c r="D58" s="68"/>
      <c r="E58" s="68"/>
      <c r="F58" s="68"/>
      <c r="G58" s="71"/>
    </row>
    <row r="59" spans="1:9">
      <c r="A59" s="74"/>
      <c r="B59" s="68"/>
      <c r="C59" s="68"/>
      <c r="D59" s="99" t="s">
        <v>132</v>
      </c>
      <c r="E59" s="68"/>
      <c r="F59" s="68" t="str">
        <f>IF(COUNTIF('Projection statistics'!K22:U25,"check")&gt;0,"check","ok")</f>
        <v>ok</v>
      </c>
      <c r="G59" s="71"/>
    </row>
    <row r="60" spans="1:9">
      <c r="A60" s="74"/>
      <c r="B60" s="68"/>
      <c r="C60" s="68"/>
      <c r="D60" s="99" t="s">
        <v>75</v>
      </c>
      <c r="E60" s="68"/>
      <c r="F60" s="68" t="str">
        <f>IF(MIN(Projection!D7:N106)&lt;0,"check","ok")</f>
        <v>ok</v>
      </c>
      <c r="G60" s="71"/>
    </row>
    <row r="61" spans="1:9">
      <c r="A61" s="74"/>
      <c r="B61" s="68"/>
      <c r="C61" s="68"/>
      <c r="D61" s="99" t="s">
        <v>73</v>
      </c>
      <c r="E61" s="68"/>
      <c r="F61" s="68" t="str">
        <f>IF(AND('Projection statistics'!AA11&gt;=0,'Projection statistics'!AA11&lt;=100),"ok","check")</f>
        <v>ok</v>
      </c>
      <c r="G61" s="71"/>
    </row>
    <row r="62" spans="1:9">
      <c r="A62" s="74"/>
      <c r="B62" s="68"/>
      <c r="C62" s="68"/>
      <c r="D62" s="99" t="s">
        <v>74</v>
      </c>
      <c r="E62" s="68"/>
      <c r="F62" s="68" t="str">
        <f>IF('Projection statistics'!AA14&lt;StartAssetValue,"ok","check")</f>
        <v>ok</v>
      </c>
      <c r="G62" s="71"/>
    </row>
    <row r="63" spans="1:9">
      <c r="A63" s="74"/>
      <c r="B63" s="68"/>
      <c r="C63" s="68"/>
      <c r="D63" s="99" t="s">
        <v>76</v>
      </c>
      <c r="E63" s="68"/>
      <c r="F63" s="68" t="str">
        <f>IF('Projection statistics'!AJ17=NumberSims,"ok","check")</f>
        <v>ok</v>
      </c>
      <c r="G63" s="71"/>
    </row>
    <row r="64" spans="1:9">
      <c r="A64" s="74"/>
      <c r="B64" s="68"/>
      <c r="C64" s="68"/>
      <c r="D64" s="110"/>
      <c r="E64" s="68"/>
      <c r="F64" s="68"/>
      <c r="G64" s="71"/>
    </row>
    <row r="65" spans="1:7">
      <c r="A65" s="74"/>
      <c r="B65" s="68"/>
      <c r="C65" s="68"/>
      <c r="D65" s="99" t="s">
        <v>166</v>
      </c>
      <c r="E65" s="85" t="s">
        <v>167</v>
      </c>
      <c r="F65" s="68"/>
      <c r="G65" s="71"/>
    </row>
    <row r="66" spans="1:7">
      <c r="A66" s="74"/>
      <c r="B66" s="68"/>
      <c r="C66" s="68"/>
      <c r="D66" s="110">
        <f>'Projection statistics'!AI8</f>
        <v>4</v>
      </c>
      <c r="E66" s="88">
        <f>'Projection statistics'!AF8</f>
        <v>-0.1</v>
      </c>
      <c r="F66" s="68"/>
      <c r="G66" s="71"/>
    </row>
    <row r="67" spans="1:7">
      <c r="A67" s="74"/>
      <c r="B67" s="68"/>
      <c r="C67" s="68"/>
      <c r="D67" s="110">
        <f>'Projection statistics'!AI9</f>
        <v>21</v>
      </c>
      <c r="E67" s="88">
        <f>'Projection statistics'!AF9</f>
        <v>-0.05</v>
      </c>
      <c r="F67" s="68"/>
      <c r="G67" s="71"/>
    </row>
    <row r="68" spans="1:7">
      <c r="A68" s="74"/>
      <c r="B68" s="68"/>
      <c r="C68" s="68"/>
      <c r="D68" s="110">
        <f>'Projection statistics'!AI10</f>
        <v>53</v>
      </c>
      <c r="E68" s="88">
        <f>'Projection statistics'!AF10</f>
        <v>0</v>
      </c>
      <c r="F68" s="68"/>
      <c r="G68" s="71"/>
    </row>
    <row r="69" spans="1:7">
      <c r="A69" s="74"/>
      <c r="B69" s="68"/>
      <c r="C69" s="68"/>
      <c r="D69" s="110">
        <f>'Projection statistics'!AI11</f>
        <v>83</v>
      </c>
      <c r="E69" s="88">
        <f>'Projection statistics'!AF11</f>
        <v>0.05</v>
      </c>
      <c r="F69" s="68"/>
      <c r="G69" s="71"/>
    </row>
    <row r="70" spans="1:7">
      <c r="A70" s="74"/>
      <c r="B70" s="68"/>
      <c r="C70" s="68"/>
      <c r="D70" s="110">
        <f>'Projection statistics'!AI12</f>
        <v>97</v>
      </c>
      <c r="E70" s="88">
        <f>'Projection statistics'!AF12</f>
        <v>0.1</v>
      </c>
      <c r="F70" s="68"/>
      <c r="G70" s="71"/>
    </row>
    <row r="71" spans="1:7">
      <c r="A71" s="74"/>
      <c r="B71" s="68"/>
      <c r="C71" s="68"/>
      <c r="D71" s="110">
        <f>'Projection statistics'!AI13</f>
        <v>99</v>
      </c>
      <c r="E71" s="88">
        <f>'Projection statistics'!AF13</f>
        <v>0.15</v>
      </c>
      <c r="F71" s="68"/>
      <c r="G71" s="71"/>
    </row>
    <row r="72" spans="1:7">
      <c r="A72" s="74"/>
      <c r="B72" s="68"/>
      <c r="C72" s="68"/>
      <c r="D72" s="110">
        <f>'Projection statistics'!AI14</f>
        <v>100</v>
      </c>
      <c r="E72" s="88">
        <f>'Projection statistics'!AF14</f>
        <v>0.2</v>
      </c>
      <c r="F72" s="68"/>
      <c r="G72" s="71"/>
    </row>
    <row r="73" spans="1:7">
      <c r="A73" s="74"/>
      <c r="B73" s="68"/>
      <c r="C73" s="68"/>
      <c r="D73" s="110"/>
      <c r="E73" s="88"/>
      <c r="F73" s="68"/>
      <c r="G73" s="71"/>
    </row>
    <row r="74" spans="1:7">
      <c r="A74" s="74"/>
      <c r="B74" s="68"/>
      <c r="C74" s="68"/>
      <c r="D74" s="99" t="s">
        <v>162</v>
      </c>
      <c r="E74" s="83">
        <f>'Projection statistics'!U12</f>
        <v>11250.526692641117</v>
      </c>
      <c r="F74" s="68"/>
      <c r="G74" s="71"/>
    </row>
    <row r="75" spans="1:7">
      <c r="A75" s="74"/>
      <c r="B75" s="68"/>
      <c r="C75" s="68"/>
      <c r="D75" s="99" t="s">
        <v>163</v>
      </c>
      <c r="E75" s="129">
        <f>(E74/StartAssetValue)^(1/ProjectionLengthYears) -1</f>
        <v>1.1852677999027339E-2</v>
      </c>
      <c r="F75" s="68"/>
      <c r="G75" s="71"/>
    </row>
    <row r="76" spans="1:7">
      <c r="A76" s="74"/>
      <c r="B76" s="68"/>
      <c r="C76" s="68"/>
      <c r="D76" s="99" t="s">
        <v>172</v>
      </c>
      <c r="E76" s="130">
        <f>0.05*INT(E75/0.05)</f>
        <v>0</v>
      </c>
      <c r="F76" s="68"/>
      <c r="G76" s="71"/>
    </row>
    <row r="77" spans="1:7">
      <c r="A77" s="74"/>
      <c r="B77" s="68"/>
      <c r="C77" s="68"/>
      <c r="D77" s="99" t="s">
        <v>377</v>
      </c>
      <c r="E77" s="130">
        <f>VLOOKUP(25,D66:E72,2,TRUE)+0.05</f>
        <v>0</v>
      </c>
      <c r="F77" s="68"/>
      <c r="G77" s="71"/>
    </row>
    <row r="78" spans="1:7">
      <c r="A78" s="74"/>
      <c r="B78" s="68"/>
      <c r="C78" s="68"/>
      <c r="D78" s="99" t="s">
        <v>168</v>
      </c>
      <c r="E78" s="129" t="str">
        <f>IF(E76=E77,"ok","check")</f>
        <v>ok</v>
      </c>
      <c r="F78" s="68"/>
      <c r="G78" s="71"/>
    </row>
    <row r="79" spans="1:7">
      <c r="A79" s="74"/>
      <c r="B79" s="68"/>
      <c r="C79" s="68"/>
      <c r="D79" s="99"/>
      <c r="E79" s="68"/>
      <c r="F79" s="68"/>
      <c r="G79" s="71"/>
    </row>
    <row r="80" spans="1:7">
      <c r="A80" s="74"/>
      <c r="B80" s="68"/>
      <c r="C80" s="68"/>
      <c r="D80" s="99" t="s">
        <v>164</v>
      </c>
      <c r="E80" s="83">
        <f>'Projection statistics'!U9</f>
        <v>15578.299494003444</v>
      </c>
      <c r="F80" s="68"/>
      <c r="G80" s="71"/>
    </row>
    <row r="81" spans="1:7">
      <c r="A81" s="74"/>
      <c r="B81" s="68"/>
      <c r="C81" s="68"/>
      <c r="D81" s="99" t="s">
        <v>163</v>
      </c>
      <c r="E81" s="129">
        <f>(E80/StartAssetValue)^(1/ProjectionLengthYears) -1</f>
        <v>4.5326607321207302E-2</v>
      </c>
      <c r="F81" s="68"/>
      <c r="G81" s="71"/>
    </row>
    <row r="82" spans="1:7">
      <c r="A82" s="74"/>
      <c r="B82" s="68"/>
      <c r="C82" s="68"/>
      <c r="D82" s="99" t="s">
        <v>172</v>
      </c>
      <c r="E82" s="130">
        <f>0.05*INT(E81/0.05)</f>
        <v>0</v>
      </c>
      <c r="F82" s="68"/>
      <c r="G82" s="71"/>
    </row>
    <row r="83" spans="1:7">
      <c r="A83" s="74"/>
      <c r="B83" s="68"/>
      <c r="C83" s="68"/>
      <c r="D83" s="99" t="s">
        <v>376</v>
      </c>
      <c r="E83" s="130">
        <f>VLOOKUP(50,D66:E72,2,TRUE)+0.05</f>
        <v>0</v>
      </c>
      <c r="F83" s="68"/>
      <c r="G83" s="71"/>
    </row>
    <row r="84" spans="1:7">
      <c r="A84" s="74"/>
      <c r="B84" s="68"/>
      <c r="C84" s="68"/>
      <c r="D84" s="99" t="s">
        <v>168</v>
      </c>
      <c r="E84" s="129" t="str">
        <f>IF(E82=E83,"ok","check")</f>
        <v>ok</v>
      </c>
      <c r="F84" s="68"/>
      <c r="G84" s="71"/>
    </row>
    <row r="85" spans="1:7">
      <c r="A85" s="74"/>
      <c r="B85" s="68"/>
      <c r="C85" s="68"/>
      <c r="D85" s="99"/>
      <c r="E85" s="129"/>
      <c r="F85" s="68"/>
      <c r="G85" s="71"/>
    </row>
    <row r="86" spans="1:7">
      <c r="A86" s="74"/>
      <c r="B86" s="68"/>
      <c r="C86" s="68"/>
      <c r="D86" s="99"/>
      <c r="E86" s="68"/>
      <c r="F86" s="68"/>
      <c r="G86" s="71"/>
    </row>
    <row r="87" spans="1:7">
      <c r="A87" s="74"/>
      <c r="B87" s="68"/>
      <c r="C87" s="68"/>
      <c r="D87" s="99" t="s">
        <v>165</v>
      </c>
      <c r="E87" s="83">
        <f>'Projection statistics'!U16</f>
        <v>22019.442178480094</v>
      </c>
      <c r="F87" s="68"/>
      <c r="G87" s="71"/>
    </row>
    <row r="88" spans="1:7">
      <c r="A88" s="74"/>
      <c r="B88" s="68"/>
      <c r="C88" s="68"/>
      <c r="D88" s="99" t="s">
        <v>163</v>
      </c>
      <c r="E88" s="129">
        <f>(E87/StartAssetValue)^(1/ProjectionLengthYears) -1</f>
        <v>8.2132975284959331E-2</v>
      </c>
      <c r="F88" s="68"/>
      <c r="G88" s="71"/>
    </row>
    <row r="89" spans="1:7">
      <c r="A89" s="74"/>
      <c r="B89" s="68"/>
      <c r="C89" s="68"/>
      <c r="D89" s="99" t="s">
        <v>172</v>
      </c>
      <c r="E89" s="130">
        <f>0.05*INT(E88/0.05)</f>
        <v>0.05</v>
      </c>
      <c r="F89" s="68"/>
      <c r="G89" s="71"/>
    </row>
    <row r="90" spans="1:7">
      <c r="A90" s="74"/>
      <c r="B90" s="68"/>
      <c r="C90" s="68"/>
      <c r="D90" s="99" t="s">
        <v>375</v>
      </c>
      <c r="E90" s="130">
        <f>VLOOKUP(75,D66:E72,2,TRUE)+0.05</f>
        <v>0.05</v>
      </c>
      <c r="F90" s="68"/>
      <c r="G90" s="71"/>
    </row>
    <row r="91" spans="1:7">
      <c r="A91" s="74"/>
      <c r="B91" s="68"/>
      <c r="C91" s="68"/>
      <c r="D91" s="99" t="s">
        <v>168</v>
      </c>
      <c r="E91" s="129" t="str">
        <f>IF(E89=E90,"ok","check")</f>
        <v>ok</v>
      </c>
      <c r="F91" s="68"/>
      <c r="G91" s="71"/>
    </row>
    <row r="92" spans="1:7">
      <c r="A92" s="74"/>
      <c r="B92" s="68"/>
      <c r="C92" s="68"/>
      <c r="D92" s="99"/>
      <c r="E92" s="68"/>
      <c r="F92" s="68"/>
      <c r="G92" s="71"/>
    </row>
    <row r="93" spans="1:7">
      <c r="A93" s="74"/>
      <c r="B93" s="68"/>
      <c r="C93" s="90" t="s">
        <v>67</v>
      </c>
      <c r="D93" s="68"/>
      <c r="E93" s="68"/>
      <c r="F93" s="68"/>
      <c r="G93" s="71"/>
    </row>
    <row r="94" spans="1:7">
      <c r="A94" s="74"/>
      <c r="B94" s="68"/>
      <c r="C94" s="68"/>
      <c r="D94" s="85" t="s">
        <v>153</v>
      </c>
      <c r="E94" s="68"/>
      <c r="F94" s="68"/>
      <c r="G94" s="71"/>
    </row>
    <row r="95" spans="1:7">
      <c r="A95" s="74"/>
      <c r="B95" s="68"/>
      <c r="C95" s="68"/>
      <c r="D95" s="85" t="s">
        <v>72</v>
      </c>
      <c r="E95" s="68"/>
      <c r="F95" s="68"/>
      <c r="G95" s="71"/>
    </row>
    <row r="96" spans="1:7">
      <c r="A96" s="74"/>
      <c r="B96" s="69"/>
      <c r="C96" s="69"/>
      <c r="D96" s="69"/>
      <c r="E96" s="69"/>
      <c r="F96" s="69"/>
      <c r="G96" s="70"/>
    </row>
  </sheetData>
  <mergeCells count="1">
    <mergeCell ref="F24:F36"/>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82"/>
  <sheetViews>
    <sheetView showGridLines="0" topLeftCell="A52" zoomScale="80" zoomScaleNormal="80" workbookViewId="0"/>
  </sheetViews>
  <sheetFormatPr defaultRowHeight="15"/>
  <cols>
    <col min="3" max="3" width="91.85546875" customWidth="1"/>
  </cols>
  <sheetData>
    <row r="1" spans="1:5">
      <c r="B1" s="73"/>
      <c r="C1" s="73"/>
      <c r="D1" s="73"/>
    </row>
    <row r="2" spans="1:5">
      <c r="A2" s="74"/>
      <c r="B2" s="68"/>
      <c r="C2" s="68"/>
      <c r="D2" s="124"/>
    </row>
    <row r="3" spans="1:5" ht="20.25" thickBot="1">
      <c r="A3" s="74"/>
      <c r="B3" s="68"/>
      <c r="C3" s="76" t="s">
        <v>77</v>
      </c>
      <c r="D3" s="124"/>
    </row>
    <row r="4" spans="1:5" ht="15.75" thickTop="1">
      <c r="A4" s="74"/>
      <c r="B4" s="68"/>
      <c r="C4" s="68"/>
      <c r="D4" s="124"/>
    </row>
    <row r="5" spans="1:5">
      <c r="A5" s="74"/>
      <c r="B5" s="68"/>
      <c r="C5" s="86" t="s">
        <v>78</v>
      </c>
      <c r="D5" s="124"/>
    </row>
    <row r="6" spans="1:5">
      <c r="A6" s="74"/>
      <c r="B6" s="68"/>
      <c r="C6" s="68"/>
      <c r="D6" s="124"/>
    </row>
    <row r="7" spans="1:5" ht="18" thickBot="1">
      <c r="A7" s="74"/>
      <c r="B7" s="68"/>
      <c r="C7" s="75" t="s">
        <v>311</v>
      </c>
      <c r="D7" s="124"/>
      <c r="E7" s="117"/>
    </row>
    <row r="8" spans="1:5" ht="15.75" thickTop="1">
      <c r="A8" s="74"/>
      <c r="B8" s="68"/>
      <c r="C8" s="68"/>
      <c r="D8" s="124"/>
    </row>
    <row r="9" spans="1:5" ht="270">
      <c r="A9" s="74"/>
      <c r="B9" s="68"/>
      <c r="C9" s="101" t="s">
        <v>378</v>
      </c>
      <c r="D9" s="124"/>
      <c r="E9" s="116"/>
    </row>
    <row r="10" spans="1:5">
      <c r="A10" s="74"/>
      <c r="B10" s="68"/>
      <c r="C10" s="68"/>
      <c r="D10" s="124"/>
    </row>
    <row r="11" spans="1:5" ht="18" thickBot="1">
      <c r="A11" s="74"/>
      <c r="B11" s="68"/>
      <c r="C11" s="75" t="s">
        <v>150</v>
      </c>
      <c r="D11" s="124"/>
    </row>
    <row r="12" spans="1:5" ht="150.75" thickTop="1">
      <c r="A12" s="74"/>
      <c r="B12" s="68"/>
      <c r="C12" s="101" t="s">
        <v>335</v>
      </c>
      <c r="D12" s="124"/>
    </row>
    <row r="13" spans="1:5">
      <c r="A13" s="74"/>
      <c r="B13" s="68"/>
      <c r="C13" s="101"/>
      <c r="D13" s="124"/>
    </row>
    <row r="14" spans="1:5" ht="18" thickBot="1">
      <c r="A14" s="74"/>
      <c r="B14" s="68"/>
      <c r="C14" s="75" t="s">
        <v>312</v>
      </c>
      <c r="D14" s="124"/>
    </row>
    <row r="15" spans="1:5" ht="30.75" thickTop="1">
      <c r="A15" s="74"/>
      <c r="B15" s="68"/>
      <c r="C15" s="101" t="s">
        <v>319</v>
      </c>
      <c r="D15" s="124"/>
    </row>
    <row r="16" spans="1:5">
      <c r="A16" s="74"/>
      <c r="B16" s="68"/>
      <c r="C16" s="101"/>
      <c r="D16" s="124"/>
    </row>
    <row r="17" spans="1:5" ht="18" thickBot="1">
      <c r="A17" s="74"/>
      <c r="B17" s="68"/>
      <c r="C17" s="75" t="s">
        <v>313</v>
      </c>
      <c r="D17" s="124"/>
    </row>
    <row r="18" spans="1:5" ht="150.75" thickTop="1">
      <c r="A18" s="74"/>
      <c r="B18" s="68"/>
      <c r="C18" s="101" t="s">
        <v>379</v>
      </c>
      <c r="D18" s="124"/>
    </row>
    <row r="19" spans="1:5">
      <c r="A19" s="74"/>
      <c r="B19" s="68"/>
      <c r="C19" s="101"/>
      <c r="D19" s="124"/>
    </row>
    <row r="20" spans="1:5" ht="18" thickBot="1">
      <c r="A20" s="74"/>
      <c r="B20" s="68"/>
      <c r="C20" s="75" t="s">
        <v>149</v>
      </c>
      <c r="D20" s="124"/>
    </row>
    <row r="21" spans="1:5" ht="195.75" thickTop="1">
      <c r="A21" s="74"/>
      <c r="B21" s="68"/>
      <c r="C21" s="101" t="s">
        <v>314</v>
      </c>
      <c r="D21" s="124"/>
    </row>
    <row r="22" spans="1:5">
      <c r="A22" s="74"/>
      <c r="B22" s="68"/>
      <c r="C22" s="68"/>
      <c r="D22" s="124"/>
    </row>
    <row r="23" spans="1:5" ht="18" thickBot="1">
      <c r="A23" s="74"/>
      <c r="B23" s="68"/>
      <c r="C23" s="75" t="s">
        <v>154</v>
      </c>
      <c r="D23" s="124"/>
    </row>
    <row r="24" spans="1:5" ht="45.75" thickTop="1">
      <c r="A24" s="74"/>
      <c r="B24" s="68"/>
      <c r="C24" s="101" t="s">
        <v>315</v>
      </c>
      <c r="D24" s="124"/>
      <c r="E24" s="116"/>
    </row>
    <row r="25" spans="1:5">
      <c r="A25" s="74"/>
      <c r="B25" s="68"/>
      <c r="C25" s="85"/>
      <c r="D25" s="124"/>
    </row>
    <row r="26" spans="1:5" ht="18" thickBot="1">
      <c r="A26" s="74"/>
      <c r="B26" s="68"/>
      <c r="C26" s="75" t="s">
        <v>155</v>
      </c>
      <c r="D26" s="124"/>
    </row>
    <row r="27" spans="1:5" ht="30.75" thickTop="1">
      <c r="A27" s="74"/>
      <c r="B27" s="68"/>
      <c r="C27" s="101" t="s">
        <v>380</v>
      </c>
      <c r="D27" s="124"/>
      <c r="E27" s="116"/>
    </row>
    <row r="28" spans="1:5">
      <c r="A28" s="74"/>
      <c r="B28" s="68"/>
      <c r="C28" s="68"/>
      <c r="D28" s="124"/>
    </row>
    <row r="29" spans="1:5" ht="30">
      <c r="A29" s="74"/>
      <c r="B29" s="68"/>
      <c r="C29" s="101" t="s">
        <v>316</v>
      </c>
      <c r="D29" s="124"/>
      <c r="E29" s="116"/>
    </row>
    <row r="30" spans="1:5">
      <c r="A30" s="74"/>
      <c r="B30" s="68"/>
      <c r="C30" s="85"/>
      <c r="D30" s="124"/>
    </row>
    <row r="31" spans="1:5" ht="45">
      <c r="A31" s="74"/>
      <c r="B31" s="68"/>
      <c r="C31" s="101" t="s">
        <v>381</v>
      </c>
      <c r="D31" s="124"/>
      <c r="E31" s="116"/>
    </row>
    <row r="32" spans="1:5">
      <c r="A32" s="74"/>
      <c r="B32" s="68"/>
      <c r="C32" s="85"/>
      <c r="D32" s="124"/>
    </row>
    <row r="33" spans="1:5" ht="72.75" customHeight="1">
      <c r="A33" s="74"/>
      <c r="B33" s="68"/>
      <c r="C33" s="101" t="s">
        <v>317</v>
      </c>
      <c r="D33" s="124"/>
      <c r="E33" s="116"/>
    </row>
    <row r="34" spans="1:5">
      <c r="A34" s="74"/>
      <c r="B34" s="68"/>
      <c r="C34" s="85"/>
      <c r="D34" s="124"/>
    </row>
    <row r="35" spans="1:5" ht="105">
      <c r="A35" s="74"/>
      <c r="B35" s="68"/>
      <c r="C35" s="101" t="s">
        <v>318</v>
      </c>
      <c r="D35" s="124"/>
      <c r="E35" s="116"/>
    </row>
    <row r="36" spans="1:5">
      <c r="A36" s="74"/>
      <c r="B36" s="68"/>
      <c r="C36" s="85"/>
      <c r="D36" s="124"/>
    </row>
    <row r="37" spans="1:5" ht="150">
      <c r="A37" s="74"/>
      <c r="B37" s="68"/>
      <c r="C37" s="101" t="s">
        <v>382</v>
      </c>
      <c r="D37" s="124"/>
      <c r="E37" s="116"/>
    </row>
    <row r="38" spans="1:5">
      <c r="A38" s="74"/>
      <c r="B38" s="68"/>
      <c r="C38" s="85"/>
      <c r="D38" s="124"/>
    </row>
    <row r="39" spans="1:5" ht="45">
      <c r="A39" s="74"/>
      <c r="B39" s="68"/>
      <c r="C39" s="101" t="s">
        <v>383</v>
      </c>
      <c r="D39" s="124"/>
    </row>
    <row r="40" spans="1:5">
      <c r="A40" s="74"/>
      <c r="B40" s="68"/>
      <c r="C40" s="68"/>
      <c r="D40" s="124"/>
    </row>
    <row r="41" spans="1:5" ht="18" thickBot="1">
      <c r="A41" s="74"/>
      <c r="B41" s="68"/>
      <c r="C41" s="75" t="s">
        <v>117</v>
      </c>
      <c r="D41" s="124"/>
    </row>
    <row r="42" spans="1:5" ht="15.75" thickTop="1">
      <c r="A42" s="74"/>
      <c r="B42" s="68"/>
      <c r="C42" s="68"/>
      <c r="D42" s="124"/>
    </row>
    <row r="43" spans="1:5">
      <c r="A43" s="74"/>
      <c r="B43" s="68"/>
      <c r="C43" s="85" t="s">
        <v>384</v>
      </c>
      <c r="D43" s="124"/>
      <c r="E43" s="116"/>
    </row>
    <row r="44" spans="1:5" ht="70.5" customHeight="1">
      <c r="A44" s="74"/>
      <c r="B44" s="68"/>
      <c r="C44" s="101" t="s">
        <v>148</v>
      </c>
      <c r="D44" s="124"/>
      <c r="E44" s="116"/>
    </row>
    <row r="45" spans="1:5">
      <c r="A45" s="74"/>
      <c r="B45" s="68"/>
      <c r="C45" s="68"/>
      <c r="D45" s="124"/>
    </row>
    <row r="46" spans="1:5" ht="18" thickBot="1">
      <c r="A46" s="74"/>
      <c r="B46" s="68"/>
      <c r="C46" s="75" t="s">
        <v>79</v>
      </c>
      <c r="D46" s="124"/>
    </row>
    <row r="47" spans="1:5" ht="15.75" thickTop="1">
      <c r="A47" s="74"/>
      <c r="B47" s="68"/>
      <c r="C47" s="85"/>
      <c r="D47" s="124"/>
    </row>
    <row r="48" spans="1:5">
      <c r="A48" s="74"/>
      <c r="B48" s="68"/>
      <c r="C48" s="85" t="s">
        <v>385</v>
      </c>
      <c r="D48" s="124"/>
      <c r="E48" s="116"/>
    </row>
    <row r="49" spans="1:5" ht="45">
      <c r="A49" s="74"/>
      <c r="B49" s="68"/>
      <c r="C49" s="101" t="s">
        <v>283</v>
      </c>
      <c r="D49" s="124"/>
      <c r="E49" s="116"/>
    </row>
    <row r="50" spans="1:5">
      <c r="A50" s="74"/>
      <c r="B50" s="68"/>
      <c r="C50" s="85"/>
      <c r="D50" s="124"/>
    </row>
    <row r="51" spans="1:5" ht="18" thickBot="1">
      <c r="A51" s="74"/>
      <c r="B51" s="68"/>
      <c r="C51" s="75" t="s">
        <v>58</v>
      </c>
      <c r="D51" s="124"/>
    </row>
    <row r="52" spans="1:5" ht="15.75" thickTop="1">
      <c r="A52" s="74"/>
      <c r="B52" s="68"/>
      <c r="C52" s="85"/>
      <c r="D52" s="124"/>
    </row>
    <row r="53" spans="1:5" ht="78" customHeight="1">
      <c r="A53" s="74"/>
      <c r="B53" s="68"/>
      <c r="C53" s="101" t="s">
        <v>322</v>
      </c>
      <c r="D53" s="124"/>
    </row>
    <row r="54" spans="1:5">
      <c r="A54" s="74"/>
      <c r="B54" s="68"/>
      <c r="C54" s="101"/>
      <c r="D54" s="124"/>
    </row>
    <row r="55" spans="1:5">
      <c r="A55" s="74"/>
      <c r="B55" s="68"/>
      <c r="C55" s="101" t="s">
        <v>320</v>
      </c>
      <c r="D55" s="124"/>
    </row>
    <row r="56" spans="1:5">
      <c r="A56" s="74"/>
      <c r="B56" s="68"/>
      <c r="C56" s="101"/>
      <c r="D56" s="124"/>
    </row>
    <row r="57" spans="1:5" ht="60">
      <c r="A57" s="74"/>
      <c r="B57" s="68"/>
      <c r="C57" s="101" t="s">
        <v>321</v>
      </c>
      <c r="D57" s="124"/>
    </row>
    <row r="58" spans="1:5">
      <c r="A58" s="74"/>
      <c r="B58" s="68"/>
      <c r="C58" s="101"/>
      <c r="D58" s="124"/>
    </row>
    <row r="59" spans="1:5" ht="75">
      <c r="A59" s="74"/>
      <c r="B59" s="68"/>
      <c r="C59" s="101" t="s">
        <v>323</v>
      </c>
      <c r="D59" s="124"/>
      <c r="E59" s="116"/>
    </row>
    <row r="60" spans="1:5">
      <c r="A60" s="74"/>
      <c r="B60" s="68"/>
      <c r="C60" s="101"/>
      <c r="D60" s="124"/>
      <c r="E60" s="116"/>
    </row>
    <row r="61" spans="1:5" ht="60">
      <c r="A61" s="74"/>
      <c r="B61" s="68"/>
      <c r="C61" s="101" t="s">
        <v>324</v>
      </c>
      <c r="D61" s="124"/>
      <c r="E61" s="116"/>
    </row>
    <row r="62" spans="1:5">
      <c r="A62" s="74"/>
      <c r="B62" s="68"/>
      <c r="C62" s="101"/>
      <c r="D62" s="124"/>
      <c r="E62" s="116"/>
    </row>
    <row r="63" spans="1:5" ht="45">
      <c r="A63" s="74"/>
      <c r="B63" s="68"/>
      <c r="C63" s="101" t="s">
        <v>325</v>
      </c>
      <c r="D63" s="124"/>
      <c r="E63" s="116"/>
    </row>
    <row r="64" spans="1:5">
      <c r="A64" s="74"/>
      <c r="B64" s="68"/>
      <c r="C64" s="101"/>
      <c r="D64" s="124"/>
      <c r="E64" s="116"/>
    </row>
    <row r="65" spans="1:6">
      <c r="A65" s="74"/>
      <c r="B65" s="68"/>
      <c r="C65" s="101" t="s">
        <v>327</v>
      </c>
      <c r="D65" s="124"/>
      <c r="E65" s="116"/>
    </row>
    <row r="66" spans="1:6">
      <c r="A66" s="74"/>
      <c r="B66" s="68"/>
      <c r="C66" s="101"/>
      <c r="D66" s="124"/>
      <c r="E66" s="116"/>
    </row>
    <row r="67" spans="1:6" ht="30">
      <c r="A67" s="74"/>
      <c r="B67" s="68"/>
      <c r="C67" s="101" t="s">
        <v>328</v>
      </c>
      <c r="D67" s="124"/>
      <c r="E67" s="116"/>
    </row>
    <row r="68" spans="1:6">
      <c r="A68" s="74"/>
      <c r="B68" s="68"/>
      <c r="C68" s="101"/>
      <c r="D68" s="124"/>
      <c r="E68" s="116"/>
    </row>
    <row r="69" spans="1:6" ht="30">
      <c r="A69" s="74"/>
      <c r="B69" s="68"/>
      <c r="C69" s="101" t="s">
        <v>329</v>
      </c>
      <c r="D69" s="124"/>
      <c r="E69" s="116"/>
    </row>
    <row r="70" spans="1:6">
      <c r="A70" s="74"/>
      <c r="B70" s="68"/>
      <c r="C70" s="101"/>
      <c r="D70" s="124"/>
      <c r="E70" s="116"/>
    </row>
    <row r="71" spans="1:6" ht="30">
      <c r="A71" s="74"/>
      <c r="B71" s="68"/>
      <c r="C71" s="101" t="s">
        <v>330</v>
      </c>
      <c r="D71" s="124"/>
      <c r="E71" s="116"/>
    </row>
    <row r="72" spans="1:6">
      <c r="A72" s="74"/>
      <c r="B72" s="68"/>
      <c r="C72" s="101"/>
      <c r="D72" s="124"/>
      <c r="E72" s="116"/>
    </row>
    <row r="73" spans="1:6" ht="75">
      <c r="A73" s="74"/>
      <c r="B73" s="68"/>
      <c r="C73" s="101" t="s">
        <v>386</v>
      </c>
      <c r="D73" s="124"/>
      <c r="E73" s="116"/>
    </row>
    <row r="74" spans="1:6">
      <c r="A74" s="74"/>
      <c r="B74" s="125"/>
      <c r="C74" s="125"/>
      <c r="D74" s="126"/>
    </row>
    <row r="76" spans="1:6">
      <c r="F76" t="s">
        <v>326</v>
      </c>
    </row>
    <row r="78" spans="1:6">
      <c r="F78" t="s">
        <v>326</v>
      </c>
    </row>
    <row r="80" spans="1:6">
      <c r="F80" t="s">
        <v>326</v>
      </c>
    </row>
    <row r="82" spans="6:6">
      <c r="F82"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L184"/>
  <sheetViews>
    <sheetView zoomScale="90" zoomScaleNormal="90" workbookViewId="0">
      <selection activeCell="B89" sqref="B89:B91"/>
    </sheetView>
  </sheetViews>
  <sheetFormatPr defaultColWidth="9.140625" defaultRowHeight="12.75"/>
  <cols>
    <col min="1" max="2" width="9.140625" style="8"/>
    <col min="3" max="3" width="9.7109375" style="8" customWidth="1"/>
    <col min="4" max="4" width="19.140625" style="8" customWidth="1"/>
    <col min="5" max="5" width="18.28515625" style="8" customWidth="1"/>
    <col min="6" max="6" width="9.140625" style="8"/>
    <col min="7" max="7" width="118" style="8" customWidth="1"/>
    <col min="8" max="8" width="9.140625" style="8"/>
    <col min="9" max="9" width="30.85546875" style="8" customWidth="1"/>
    <col min="10" max="16384" width="9.140625" style="8"/>
  </cols>
  <sheetData>
    <row r="1" spans="1:11" ht="13.5" customHeight="1">
      <c r="A1" s="2"/>
      <c r="B1" s="3" t="s">
        <v>17</v>
      </c>
      <c r="C1" s="4"/>
      <c r="D1" s="2"/>
      <c r="E1" s="5" t="s">
        <v>18</v>
      </c>
      <c r="F1" s="6">
        <f>SUM(AuditApproach,B25,Audit,B68,B86,B137)</f>
        <v>3</v>
      </c>
      <c r="G1" s="2" t="s">
        <v>19</v>
      </c>
      <c r="H1" s="2"/>
      <c r="I1" s="7"/>
      <c r="J1" s="2"/>
    </row>
    <row r="2" spans="1:11" ht="13.5" customHeight="1" thickBot="1">
      <c r="A2" s="2"/>
      <c r="B2" s="9"/>
      <c r="C2" s="2"/>
      <c r="D2" s="2"/>
      <c r="E2" s="2"/>
      <c r="F2" s="2"/>
      <c r="G2" s="2"/>
      <c r="H2" s="2"/>
      <c r="I2" s="10"/>
      <c r="J2" s="11"/>
    </row>
    <row r="3" spans="1:11" ht="13.5" customHeight="1">
      <c r="A3" s="2"/>
      <c r="B3" s="12">
        <f>SUM(B6:B11,B14:B16,B20)</f>
        <v>3</v>
      </c>
      <c r="C3" s="13" t="s">
        <v>294</v>
      </c>
      <c r="D3" s="14" t="s">
        <v>20</v>
      </c>
      <c r="E3" s="15"/>
      <c r="F3" s="15"/>
      <c r="G3" s="16"/>
      <c r="H3" s="17"/>
      <c r="I3" s="18" t="s">
        <v>21</v>
      </c>
      <c r="J3" s="2"/>
    </row>
    <row r="4" spans="1:11" ht="13.5" customHeight="1">
      <c r="A4" s="2"/>
      <c r="B4" s="19"/>
      <c r="C4" s="17"/>
      <c r="D4" s="17"/>
      <c r="E4" s="17"/>
      <c r="F4" s="17"/>
      <c r="G4" s="20"/>
      <c r="H4" s="2"/>
      <c r="I4" s="10"/>
      <c r="J4" s="2"/>
      <c r="K4" s="21"/>
    </row>
    <row r="5" spans="1:11" ht="13.5" customHeight="1">
      <c r="A5" s="2"/>
      <c r="B5" s="19"/>
      <c r="C5" s="17"/>
      <c r="D5" s="155" t="s">
        <v>394</v>
      </c>
      <c r="E5" s="17"/>
      <c r="F5" s="17"/>
      <c r="G5" s="20"/>
      <c r="H5" s="2"/>
      <c r="I5" s="10"/>
      <c r="J5" s="2"/>
      <c r="K5" s="21"/>
    </row>
    <row r="6" spans="1:11" ht="13.5" customHeight="1">
      <c r="A6" s="2"/>
      <c r="B6" s="22"/>
      <c r="C6" s="23" t="s">
        <v>26</v>
      </c>
      <c r="D6" s="35" t="s">
        <v>374</v>
      </c>
      <c r="E6" s="17"/>
      <c r="F6" s="17"/>
      <c r="G6" s="20"/>
      <c r="H6" s="2"/>
      <c r="I6" s="25"/>
      <c r="J6" s="2"/>
      <c r="K6" s="21"/>
    </row>
    <row r="7" spans="1:11" ht="13.5" customHeight="1">
      <c r="A7" s="2"/>
      <c r="B7" s="22"/>
      <c r="C7" s="23" t="s">
        <v>28</v>
      </c>
      <c r="D7" s="35" t="s">
        <v>285</v>
      </c>
      <c r="E7" s="17"/>
      <c r="F7" s="17"/>
      <c r="G7" s="20"/>
      <c r="H7" s="2"/>
      <c r="I7" s="143"/>
      <c r="J7" s="2"/>
      <c r="K7" s="21"/>
    </row>
    <row r="8" spans="1:11" ht="13.5" customHeight="1">
      <c r="A8" s="2"/>
      <c r="B8" s="22"/>
      <c r="C8" s="23" t="s">
        <v>28</v>
      </c>
      <c r="D8" s="35" t="s">
        <v>286</v>
      </c>
      <c r="E8" s="17"/>
      <c r="F8" s="17"/>
      <c r="G8" s="20"/>
      <c r="H8" s="2"/>
      <c r="I8" s="143"/>
      <c r="J8" s="2"/>
      <c r="K8" s="21"/>
    </row>
    <row r="9" spans="1:11" ht="13.5" customHeight="1">
      <c r="A9" s="2"/>
      <c r="B9" s="22"/>
      <c r="C9" s="23" t="s">
        <v>26</v>
      </c>
      <c r="D9" s="35" t="s">
        <v>287</v>
      </c>
      <c r="E9" s="17"/>
      <c r="F9" s="17"/>
      <c r="G9" s="20"/>
      <c r="H9" s="2"/>
      <c r="I9" s="143"/>
      <c r="J9" s="2"/>
      <c r="K9" s="21"/>
    </row>
    <row r="10" spans="1:11" ht="13.5" customHeight="1">
      <c r="A10" s="2"/>
      <c r="B10" s="22"/>
      <c r="C10" s="23" t="s">
        <v>28</v>
      </c>
      <c r="D10" s="35" t="s">
        <v>288</v>
      </c>
      <c r="E10" s="17"/>
      <c r="F10" s="17"/>
      <c r="G10" s="20"/>
      <c r="H10" s="2"/>
      <c r="I10" s="143"/>
      <c r="J10" s="2"/>
      <c r="K10" s="21"/>
    </row>
    <row r="11" spans="1:11" ht="13.5" customHeight="1">
      <c r="A11" s="2"/>
      <c r="B11" s="22"/>
      <c r="C11" s="23" t="s">
        <v>28</v>
      </c>
      <c r="D11" s="35" t="s">
        <v>396</v>
      </c>
      <c r="E11" s="17"/>
      <c r="F11" s="17"/>
      <c r="G11" s="20"/>
      <c r="H11" s="2"/>
      <c r="I11" s="143"/>
      <c r="J11" s="2"/>
      <c r="K11" s="21"/>
    </row>
    <row r="12" spans="1:11" ht="13.5" customHeight="1">
      <c r="A12" s="2"/>
      <c r="B12" s="19"/>
      <c r="C12" s="17"/>
      <c r="D12" s="24"/>
      <c r="E12" s="17"/>
      <c r="F12" s="17"/>
      <c r="G12" s="20"/>
      <c r="H12" s="2"/>
      <c r="I12" s="26"/>
      <c r="J12" s="2"/>
    </row>
    <row r="13" spans="1:11" ht="13.5" customHeight="1">
      <c r="A13" s="2"/>
      <c r="B13" s="19"/>
      <c r="C13" s="17"/>
      <c r="D13" s="155" t="s">
        <v>395</v>
      </c>
      <c r="E13" s="17"/>
      <c r="F13" s="17"/>
      <c r="G13" s="20"/>
      <c r="H13" s="2"/>
      <c r="I13" s="26"/>
      <c r="J13" s="2"/>
    </row>
    <row r="14" spans="1:11" ht="13.5" customHeight="1">
      <c r="A14" s="2"/>
      <c r="B14" s="22"/>
      <c r="C14" s="17" t="s">
        <v>26</v>
      </c>
      <c r="D14" s="35" t="s">
        <v>289</v>
      </c>
      <c r="E14" s="17"/>
      <c r="F14" s="17"/>
      <c r="G14" s="20"/>
      <c r="H14" s="2"/>
      <c r="I14" s="27"/>
      <c r="J14" s="2"/>
      <c r="K14" s="21"/>
    </row>
    <row r="15" spans="1:11" ht="13.5" customHeight="1">
      <c r="A15" s="2"/>
      <c r="B15" s="22"/>
      <c r="C15" s="17" t="s">
        <v>28</v>
      </c>
      <c r="D15" s="35" t="s">
        <v>290</v>
      </c>
      <c r="E15" s="17"/>
      <c r="F15" s="17"/>
      <c r="G15" s="20"/>
      <c r="H15" s="2"/>
      <c r="I15" s="144"/>
      <c r="J15" s="2"/>
      <c r="K15" s="21"/>
    </row>
    <row r="16" spans="1:11" ht="13.5" customHeight="1">
      <c r="A16" s="2"/>
      <c r="B16" s="22"/>
      <c r="C16" s="17" t="s">
        <v>28</v>
      </c>
      <c r="D16" s="35" t="s">
        <v>291</v>
      </c>
      <c r="E16" s="17"/>
      <c r="F16" s="17"/>
      <c r="G16" s="20"/>
      <c r="H16" s="2"/>
      <c r="I16" s="144"/>
      <c r="J16" s="2"/>
      <c r="K16" s="21"/>
    </row>
    <row r="17" spans="1:11" ht="13.5" customHeight="1">
      <c r="A17" s="2"/>
      <c r="B17" s="19"/>
      <c r="C17" s="17"/>
      <c r="D17" s="24"/>
      <c r="E17" s="17"/>
      <c r="F17" s="17"/>
      <c r="G17" s="20"/>
      <c r="H17" s="2"/>
      <c r="I17" s="144"/>
      <c r="J17" s="2"/>
      <c r="K17" s="21"/>
    </row>
    <row r="18" spans="1:11" ht="13.5" customHeight="1">
      <c r="A18" s="2"/>
      <c r="B18" s="19"/>
      <c r="C18" s="17"/>
      <c r="D18" s="24"/>
      <c r="E18" s="17"/>
      <c r="F18" s="17"/>
      <c r="G18" s="20"/>
      <c r="H18" s="2"/>
      <c r="I18" s="144"/>
      <c r="J18" s="2"/>
      <c r="K18" s="21"/>
    </row>
    <row r="19" spans="1:11" ht="13.5" customHeight="1">
      <c r="A19" s="2"/>
      <c r="B19" s="19"/>
      <c r="C19" s="17"/>
      <c r="D19" s="156" t="s">
        <v>295</v>
      </c>
      <c r="E19" s="17"/>
      <c r="F19" s="17"/>
      <c r="G19" s="20"/>
      <c r="H19" s="2"/>
      <c r="I19" s="144"/>
      <c r="J19" s="2"/>
      <c r="K19" s="21"/>
    </row>
    <row r="20" spans="1:11" ht="13.5" customHeight="1">
      <c r="A20" s="2"/>
      <c r="B20" s="19">
        <f>3+SUM(B21:B23)</f>
        <v>3</v>
      </c>
      <c r="C20" s="17"/>
      <c r="D20" s="35" t="s">
        <v>296</v>
      </c>
      <c r="E20" s="17"/>
      <c r="F20" s="17"/>
      <c r="G20" s="20"/>
      <c r="H20" s="2"/>
      <c r="I20" s="26"/>
      <c r="J20" s="2"/>
      <c r="K20" s="21"/>
    </row>
    <row r="21" spans="1:11" ht="13.5" customHeight="1">
      <c r="A21" s="2"/>
      <c r="B21" s="22"/>
      <c r="C21" s="17" t="s">
        <v>284</v>
      </c>
      <c r="D21" s="35" t="s">
        <v>292</v>
      </c>
      <c r="E21" s="17"/>
      <c r="F21" s="17"/>
      <c r="G21" s="20"/>
      <c r="H21" s="2"/>
      <c r="I21" s="27"/>
      <c r="J21" s="2"/>
      <c r="K21" s="21"/>
    </row>
    <row r="22" spans="1:11" ht="13.5" customHeight="1">
      <c r="A22" s="2"/>
      <c r="B22" s="22"/>
      <c r="C22" s="17" t="s">
        <v>284</v>
      </c>
      <c r="D22" s="35" t="s">
        <v>293</v>
      </c>
      <c r="E22" s="17"/>
      <c r="F22" s="17"/>
      <c r="G22" s="20"/>
      <c r="H22" s="2"/>
      <c r="I22" s="144"/>
      <c r="J22" s="2"/>
      <c r="K22" s="21"/>
    </row>
    <row r="23" spans="1:11" ht="13.5" customHeight="1" thickBot="1">
      <c r="A23" s="2"/>
      <c r="B23" s="28"/>
      <c r="C23" s="29" t="s">
        <v>284</v>
      </c>
      <c r="D23" s="29" t="s">
        <v>366</v>
      </c>
      <c r="E23" s="30"/>
      <c r="F23" s="30"/>
      <c r="G23" s="31"/>
      <c r="H23" s="2"/>
      <c r="I23" s="144"/>
      <c r="J23" s="2"/>
      <c r="K23" s="21"/>
    </row>
    <row r="24" spans="1:11" ht="13.5" customHeight="1" thickBot="1">
      <c r="A24" s="2"/>
      <c r="B24" s="23"/>
      <c r="C24" s="23"/>
      <c r="D24" s="24"/>
      <c r="E24" s="17"/>
      <c r="F24" s="17"/>
      <c r="G24" s="17"/>
      <c r="H24" s="2"/>
      <c r="I24" s="2"/>
      <c r="J24" s="2"/>
      <c r="K24" s="21"/>
    </row>
    <row r="25" spans="1:11" ht="13.5" customHeight="1">
      <c r="A25" s="2"/>
      <c r="B25" s="12">
        <f>SUM(B28:B33,MIN(5,SUM(B36:B41)))</f>
        <v>0</v>
      </c>
      <c r="C25" s="32" t="s">
        <v>309</v>
      </c>
      <c r="D25" s="14" t="s">
        <v>22</v>
      </c>
      <c r="E25" s="15"/>
      <c r="F25" s="15"/>
      <c r="G25" s="33"/>
      <c r="H25" s="2"/>
      <c r="I25" s="26"/>
    </row>
    <row r="26" spans="1:11" ht="13.5" customHeight="1">
      <c r="A26" s="2"/>
      <c r="B26" s="145"/>
      <c r="C26" s="146"/>
      <c r="D26" s="52"/>
      <c r="E26" s="17"/>
      <c r="F26" s="17"/>
      <c r="G26" s="20"/>
      <c r="H26" s="2"/>
      <c r="I26" s="26"/>
    </row>
    <row r="27" spans="1:11" ht="13.5" customHeight="1">
      <c r="A27" s="2"/>
      <c r="B27" s="157" t="s">
        <v>297</v>
      </c>
      <c r="C27" s="17"/>
      <c r="D27" s="24"/>
      <c r="E27" s="17"/>
      <c r="F27" s="17"/>
      <c r="G27" s="20"/>
      <c r="H27" s="2"/>
      <c r="I27" s="26"/>
    </row>
    <row r="28" spans="1:11" ht="13.5" customHeight="1">
      <c r="A28" s="2"/>
      <c r="B28" s="34"/>
      <c r="C28" s="17" t="s">
        <v>28</v>
      </c>
      <c r="D28" s="35" t="s">
        <v>298</v>
      </c>
      <c r="E28" s="17"/>
      <c r="F28" s="17"/>
      <c r="G28" s="20"/>
      <c r="H28" s="2"/>
      <c r="I28" s="27"/>
    </row>
    <row r="29" spans="1:11" ht="13.5" customHeight="1">
      <c r="A29" s="2"/>
      <c r="B29" s="34"/>
      <c r="C29" s="17" t="s">
        <v>26</v>
      </c>
      <c r="D29" s="35" t="s">
        <v>299</v>
      </c>
      <c r="E29" s="17"/>
      <c r="F29" s="17"/>
      <c r="G29" s="20"/>
      <c r="H29" s="2"/>
      <c r="I29" s="27"/>
    </row>
    <row r="30" spans="1:11" ht="13.5" customHeight="1">
      <c r="A30" s="2"/>
      <c r="B30" s="34"/>
      <c r="C30" s="17" t="s">
        <v>28</v>
      </c>
      <c r="D30" s="35" t="s">
        <v>300</v>
      </c>
      <c r="E30" s="17"/>
      <c r="F30" s="17"/>
      <c r="G30" s="20"/>
      <c r="H30" s="2"/>
      <c r="I30" s="27"/>
    </row>
    <row r="31" spans="1:11" ht="13.5" customHeight="1">
      <c r="A31" s="2"/>
      <c r="B31" s="34"/>
      <c r="C31" s="17" t="s">
        <v>28</v>
      </c>
      <c r="D31" s="35" t="s">
        <v>301</v>
      </c>
      <c r="E31" s="17"/>
      <c r="F31" s="17"/>
      <c r="G31" s="20"/>
      <c r="H31" s="2"/>
      <c r="I31" s="27"/>
    </row>
    <row r="32" spans="1:11" ht="13.5" customHeight="1">
      <c r="A32" s="2"/>
      <c r="B32" s="34"/>
      <c r="C32" s="17" t="s">
        <v>28</v>
      </c>
      <c r="D32" s="35" t="s">
        <v>373</v>
      </c>
      <c r="E32" s="17"/>
      <c r="F32" s="17"/>
      <c r="G32" s="20"/>
      <c r="H32" s="2"/>
      <c r="I32" s="27"/>
    </row>
    <row r="33" spans="1:10" ht="13.5" customHeight="1">
      <c r="A33" s="2"/>
      <c r="B33" s="34"/>
      <c r="C33" s="17" t="s">
        <v>28</v>
      </c>
      <c r="D33" s="35" t="s">
        <v>302</v>
      </c>
      <c r="E33" s="17"/>
      <c r="F33" s="17"/>
      <c r="G33" s="20"/>
      <c r="H33" s="2"/>
      <c r="I33" s="27"/>
    </row>
    <row r="34" spans="1:10" ht="13.5" customHeight="1">
      <c r="A34" s="2"/>
      <c r="B34" s="19"/>
      <c r="C34" s="17"/>
      <c r="D34" s="35"/>
      <c r="E34" s="17"/>
      <c r="F34" s="17"/>
      <c r="G34" s="20"/>
      <c r="H34" s="2"/>
      <c r="I34" s="144"/>
    </row>
    <row r="35" spans="1:10" ht="13.5" customHeight="1">
      <c r="A35" s="2"/>
      <c r="B35" s="157" t="s">
        <v>303</v>
      </c>
      <c r="C35" s="17"/>
      <c r="D35" s="35"/>
      <c r="E35" s="17"/>
      <c r="F35" s="17"/>
      <c r="G35" s="20"/>
      <c r="H35" s="2"/>
      <c r="I35" s="144"/>
    </row>
    <row r="36" spans="1:10" ht="13.5" customHeight="1">
      <c r="A36" s="2"/>
      <c r="B36" s="34"/>
      <c r="C36" s="17" t="s">
        <v>28</v>
      </c>
      <c r="D36" s="35" t="s">
        <v>304</v>
      </c>
      <c r="E36" s="17"/>
      <c r="F36" s="17"/>
      <c r="G36" s="20"/>
      <c r="H36" s="2"/>
    </row>
    <row r="37" spans="1:10" ht="13.5" customHeight="1">
      <c r="A37" s="2"/>
      <c r="B37" s="34"/>
      <c r="C37" s="17" t="s">
        <v>28</v>
      </c>
      <c r="D37" s="35" t="s">
        <v>305</v>
      </c>
      <c r="E37" s="17"/>
      <c r="F37" s="17"/>
      <c r="G37" s="20"/>
      <c r="H37" s="2"/>
    </row>
    <row r="38" spans="1:10" ht="13.5" customHeight="1">
      <c r="A38" s="2"/>
      <c r="B38" s="34"/>
      <c r="C38" s="17" t="s">
        <v>28</v>
      </c>
      <c r="D38" s="35" t="s">
        <v>306</v>
      </c>
      <c r="E38" s="17"/>
      <c r="F38" s="17"/>
      <c r="G38" s="20"/>
      <c r="H38" s="2"/>
    </row>
    <row r="39" spans="1:10" ht="13.5" customHeight="1">
      <c r="A39" s="2"/>
      <c r="B39" s="34"/>
      <c r="C39" s="17" t="s">
        <v>28</v>
      </c>
      <c r="D39" s="35" t="s">
        <v>307</v>
      </c>
      <c r="E39" s="17"/>
      <c r="F39" s="17"/>
      <c r="G39" s="20"/>
      <c r="H39" s="2"/>
    </row>
    <row r="40" spans="1:10" ht="13.5" customHeight="1">
      <c r="A40" s="2"/>
      <c r="B40" s="154"/>
      <c r="C40" s="17" t="s">
        <v>28</v>
      </c>
      <c r="D40" s="35" t="s">
        <v>340</v>
      </c>
      <c r="E40" s="17"/>
      <c r="F40" s="17"/>
      <c r="G40" s="20"/>
      <c r="H40" s="2"/>
    </row>
    <row r="41" spans="1:10" ht="13.5" customHeight="1">
      <c r="A41" s="2"/>
      <c r="B41" s="36"/>
      <c r="C41" s="37" t="s">
        <v>28</v>
      </c>
      <c r="D41" s="38" t="s">
        <v>308</v>
      </c>
      <c r="E41" s="37"/>
      <c r="F41" s="37"/>
      <c r="G41" s="39"/>
      <c r="H41" s="2"/>
      <c r="I41" s="27"/>
    </row>
    <row r="42" spans="1:10" ht="13.5" customHeight="1" thickBot="1">
      <c r="A42" s="17"/>
      <c r="B42" s="40"/>
      <c r="C42" s="17"/>
      <c r="D42" s="24"/>
      <c r="E42" s="17"/>
      <c r="F42" s="17"/>
      <c r="G42" s="20"/>
      <c r="H42" s="2"/>
      <c r="I42" s="26"/>
    </row>
    <row r="43" spans="1:10" ht="13.5" customHeight="1">
      <c r="A43" s="2"/>
      <c r="B43" s="12">
        <f>MIN(19,SUM(B45:B50,B52:B62,B65:B66))</f>
        <v>0</v>
      </c>
      <c r="C43" s="32" t="s">
        <v>357</v>
      </c>
      <c r="D43" s="14" t="s">
        <v>24</v>
      </c>
      <c r="E43" s="15"/>
      <c r="F43" s="15"/>
      <c r="G43" s="33"/>
      <c r="H43" s="2"/>
      <c r="I43" s="26"/>
      <c r="J43" s="41"/>
    </row>
    <row r="44" spans="1:10" ht="13.5" customHeight="1">
      <c r="A44" s="2"/>
      <c r="B44" s="19"/>
      <c r="C44" s="42" t="s">
        <v>25</v>
      </c>
      <c r="D44" s="24"/>
      <c r="E44" s="17"/>
      <c r="F44" s="17"/>
      <c r="G44" s="20"/>
      <c r="H44" s="2"/>
      <c r="I44" s="26"/>
      <c r="J44" s="2"/>
    </row>
    <row r="45" spans="1:10" ht="13.5" customHeight="1">
      <c r="A45" s="2"/>
      <c r="B45" s="34"/>
      <c r="C45" s="17" t="s">
        <v>26</v>
      </c>
      <c r="D45" s="24" t="s">
        <v>27</v>
      </c>
      <c r="E45" s="17"/>
      <c r="F45" s="17"/>
      <c r="G45" s="20"/>
      <c r="H45" s="2"/>
      <c r="I45" s="43"/>
      <c r="J45" s="2"/>
    </row>
    <row r="46" spans="1:10" ht="13.5" customHeight="1">
      <c r="A46" s="2"/>
      <c r="B46" s="34"/>
      <c r="C46" s="17" t="s">
        <v>28</v>
      </c>
      <c r="D46" s="24" t="s">
        <v>29</v>
      </c>
      <c r="E46" s="17"/>
      <c r="F46" s="17"/>
      <c r="G46" s="20"/>
      <c r="H46" s="2"/>
      <c r="I46" s="43"/>
      <c r="J46" s="2"/>
    </row>
    <row r="47" spans="1:10" ht="13.5" customHeight="1">
      <c r="A47" s="2"/>
      <c r="B47" s="34"/>
      <c r="C47" s="17" t="s">
        <v>28</v>
      </c>
      <c r="D47" s="24" t="s">
        <v>81</v>
      </c>
      <c r="E47" s="17"/>
      <c r="F47" s="17"/>
      <c r="G47" s="20"/>
      <c r="H47" s="2"/>
      <c r="I47" s="43"/>
      <c r="J47" s="2"/>
    </row>
    <row r="48" spans="1:10" ht="13.5" customHeight="1">
      <c r="A48" s="2"/>
      <c r="B48" s="34"/>
      <c r="C48" s="17" t="s">
        <v>28</v>
      </c>
      <c r="D48" s="24" t="s">
        <v>82</v>
      </c>
      <c r="E48" s="17"/>
      <c r="F48" s="17"/>
      <c r="G48" s="20"/>
      <c r="H48" s="2"/>
      <c r="I48" s="43"/>
      <c r="J48" s="44"/>
    </row>
    <row r="49" spans="1:10" ht="13.5" customHeight="1">
      <c r="A49" s="2"/>
      <c r="B49" s="34"/>
      <c r="C49" s="17" t="s">
        <v>28</v>
      </c>
      <c r="D49" s="24" t="s">
        <v>84</v>
      </c>
      <c r="E49" s="17"/>
      <c r="F49" s="17"/>
      <c r="G49" s="20"/>
      <c r="H49" s="2"/>
      <c r="I49" s="43"/>
      <c r="J49" s="44"/>
    </row>
    <row r="50" spans="1:10" ht="13.5" customHeight="1">
      <c r="A50" s="2"/>
      <c r="B50" s="34"/>
      <c r="C50" s="17" t="s">
        <v>28</v>
      </c>
      <c r="D50" s="24" t="s">
        <v>83</v>
      </c>
      <c r="E50" s="17"/>
      <c r="F50" s="17"/>
      <c r="G50" s="20"/>
      <c r="H50" s="2"/>
      <c r="I50" s="43"/>
      <c r="J50" s="44"/>
    </row>
    <row r="51" spans="1:10" ht="13.5" customHeight="1">
      <c r="A51" s="2"/>
      <c r="B51" s="19"/>
      <c r="C51" s="17"/>
      <c r="D51" s="104"/>
      <c r="E51" s="17"/>
      <c r="F51" s="17"/>
      <c r="G51" s="20"/>
      <c r="H51" s="2"/>
      <c r="I51" s="44"/>
      <c r="J51" s="44"/>
    </row>
    <row r="52" spans="1:10" ht="13.5" customHeight="1">
      <c r="A52" s="2"/>
      <c r="B52" s="34"/>
      <c r="C52" s="17" t="s">
        <v>28</v>
      </c>
      <c r="D52" s="105" t="s">
        <v>140</v>
      </c>
      <c r="E52" s="17"/>
      <c r="F52" s="17"/>
      <c r="G52" s="20"/>
      <c r="H52" s="2"/>
      <c r="I52" s="43"/>
      <c r="J52" s="44"/>
    </row>
    <row r="53" spans="1:10" ht="13.5" customHeight="1">
      <c r="A53" s="2"/>
      <c r="B53" s="34"/>
      <c r="C53" s="17" t="s">
        <v>28</v>
      </c>
      <c r="D53" s="105" t="s">
        <v>141</v>
      </c>
      <c r="E53" s="17"/>
      <c r="F53" s="17"/>
      <c r="G53" s="20"/>
      <c r="H53" s="2"/>
      <c r="I53" s="43"/>
      <c r="J53" s="44"/>
    </row>
    <row r="54" spans="1:10" ht="13.5" customHeight="1">
      <c r="A54" s="2"/>
      <c r="B54" s="34"/>
      <c r="C54" s="17" t="s">
        <v>28</v>
      </c>
      <c r="D54" s="105" t="s">
        <v>142</v>
      </c>
      <c r="E54" s="17"/>
      <c r="F54" s="17"/>
      <c r="G54" s="20"/>
      <c r="H54" s="2"/>
      <c r="I54" s="43"/>
      <c r="J54" s="44"/>
    </row>
    <row r="55" spans="1:10" ht="29.25" customHeight="1">
      <c r="A55" s="2"/>
      <c r="B55" s="34"/>
      <c r="C55" s="17" t="s">
        <v>26</v>
      </c>
      <c r="D55" s="170" t="s">
        <v>387</v>
      </c>
      <c r="E55" s="170"/>
      <c r="F55" s="170"/>
      <c r="G55" s="171"/>
      <c r="H55" s="2"/>
      <c r="I55" s="43"/>
      <c r="J55" s="44"/>
    </row>
    <row r="56" spans="1:10" ht="29.25" customHeight="1">
      <c r="A56" s="2"/>
      <c r="B56" s="34"/>
      <c r="C56" s="17" t="s">
        <v>26</v>
      </c>
      <c r="D56" s="170" t="s">
        <v>388</v>
      </c>
      <c r="E56" s="170"/>
      <c r="F56" s="170"/>
      <c r="G56" s="171"/>
      <c r="H56" s="2"/>
      <c r="I56" s="43"/>
      <c r="J56" s="44"/>
    </row>
    <row r="57" spans="1:10" ht="13.5" customHeight="1">
      <c r="A57" s="2"/>
      <c r="B57" s="34"/>
      <c r="C57" s="17" t="s">
        <v>28</v>
      </c>
      <c r="D57" s="105" t="s">
        <v>143</v>
      </c>
      <c r="E57" s="17"/>
      <c r="F57" s="17"/>
      <c r="G57" s="20"/>
      <c r="H57" s="2"/>
      <c r="I57" s="43"/>
      <c r="J57" s="44"/>
    </row>
    <row r="58" spans="1:10" ht="13.5" customHeight="1">
      <c r="A58" s="2"/>
      <c r="B58" s="34"/>
      <c r="C58" s="17" t="s">
        <v>28</v>
      </c>
      <c r="D58" s="106" t="s">
        <v>85</v>
      </c>
      <c r="E58" s="17"/>
      <c r="F58" s="17"/>
      <c r="G58" s="20"/>
      <c r="H58" s="2"/>
      <c r="I58" s="43"/>
      <c r="J58" s="44"/>
    </row>
    <row r="59" spans="1:10" ht="13.5" customHeight="1">
      <c r="A59" s="2"/>
      <c r="B59" s="34"/>
      <c r="C59" s="17" t="s">
        <v>28</v>
      </c>
      <c r="D59" s="106" t="s">
        <v>144</v>
      </c>
      <c r="E59" s="17"/>
      <c r="F59" s="17"/>
      <c r="G59" s="20"/>
      <c r="H59" s="2"/>
      <c r="I59" s="43"/>
      <c r="J59" s="44"/>
    </row>
    <row r="60" spans="1:10" ht="27.75" customHeight="1">
      <c r="A60" s="2"/>
      <c r="B60" s="34"/>
      <c r="C60" s="17" t="s">
        <v>28</v>
      </c>
      <c r="D60" s="170" t="s">
        <v>389</v>
      </c>
      <c r="E60" s="170"/>
      <c r="F60" s="170"/>
      <c r="G60" s="171"/>
      <c r="H60" s="2"/>
      <c r="I60" s="43"/>
      <c r="J60" s="44"/>
    </row>
    <row r="61" spans="1:10" ht="31.5" customHeight="1">
      <c r="A61" s="2"/>
      <c r="B61" s="34"/>
      <c r="C61" s="17" t="s">
        <v>28</v>
      </c>
      <c r="D61" s="170" t="s">
        <v>390</v>
      </c>
      <c r="E61" s="170"/>
      <c r="F61" s="170"/>
      <c r="G61" s="171"/>
      <c r="H61" s="2"/>
      <c r="I61" s="43"/>
      <c r="J61" s="44"/>
    </row>
    <row r="62" spans="1:10" ht="13.5" customHeight="1">
      <c r="A62" s="2"/>
      <c r="B62" s="34"/>
      <c r="C62" s="17" t="s">
        <v>28</v>
      </c>
      <c r="D62" s="106" t="s">
        <v>85</v>
      </c>
      <c r="E62" s="17"/>
      <c r="F62" s="17"/>
      <c r="G62" s="20"/>
      <c r="H62" s="2"/>
      <c r="I62" s="43"/>
      <c r="J62" s="44"/>
    </row>
    <row r="63" spans="1:10" ht="13.5" customHeight="1">
      <c r="A63" s="2"/>
      <c r="B63" s="19"/>
      <c r="C63" s="17"/>
      <c r="D63" s="103"/>
      <c r="E63" s="17"/>
      <c r="F63" s="17"/>
      <c r="G63" s="20"/>
      <c r="H63" s="2"/>
      <c r="I63" s="44"/>
      <c r="J63" s="44"/>
    </row>
    <row r="64" spans="1:10" ht="13.5" customHeight="1">
      <c r="A64" s="2"/>
      <c r="B64" s="19"/>
      <c r="C64" s="17"/>
      <c r="D64" s="24"/>
      <c r="E64" s="17"/>
      <c r="F64" s="17"/>
      <c r="G64" s="20"/>
      <c r="H64" s="2"/>
      <c r="I64" s="44"/>
      <c r="J64" s="44"/>
    </row>
    <row r="65" spans="1:12" ht="13.5" customHeight="1">
      <c r="A65" s="2"/>
      <c r="B65" s="34"/>
      <c r="C65" s="17" t="s">
        <v>28</v>
      </c>
      <c r="D65" s="24" t="s">
        <v>86</v>
      </c>
      <c r="E65" s="17"/>
      <c r="F65" s="17"/>
      <c r="G65" s="20"/>
      <c r="H65" s="2"/>
      <c r="I65" s="43"/>
      <c r="J65" s="44"/>
    </row>
    <row r="66" spans="1:12" ht="13.5" customHeight="1">
      <c r="A66" s="2"/>
      <c r="B66" s="45"/>
      <c r="C66" s="37"/>
      <c r="D66" s="38"/>
      <c r="E66" s="37"/>
      <c r="F66" s="37"/>
      <c r="G66" s="39"/>
      <c r="H66" s="2"/>
      <c r="I66" s="44"/>
      <c r="J66" s="44"/>
    </row>
    <row r="67" spans="1:12" ht="13.5" customHeight="1" thickBot="1">
      <c r="A67" s="2"/>
      <c r="B67" s="17"/>
      <c r="C67" s="17"/>
      <c r="D67" s="24"/>
      <c r="E67" s="17"/>
      <c r="F67" s="17"/>
      <c r="G67" s="17"/>
      <c r="H67" s="2"/>
      <c r="I67" s="44"/>
      <c r="J67" s="44"/>
    </row>
    <row r="68" spans="1:12" ht="13.5" customHeight="1">
      <c r="A68" s="2"/>
      <c r="B68" s="12">
        <f>MIN(8,SUM(B70:B76,B79:B84))</f>
        <v>0</v>
      </c>
      <c r="C68" s="32" t="s">
        <v>157</v>
      </c>
      <c r="D68" s="14" t="s">
        <v>30</v>
      </c>
      <c r="E68" s="15"/>
      <c r="F68" s="15"/>
      <c r="G68" s="33"/>
      <c r="H68" s="2"/>
      <c r="I68" s="44"/>
      <c r="J68" s="44"/>
    </row>
    <row r="69" spans="1:12" ht="13.5" customHeight="1">
      <c r="A69" s="2"/>
      <c r="B69" s="46"/>
      <c r="C69" s="42" t="s">
        <v>25</v>
      </c>
      <c r="D69" s="24"/>
      <c r="E69" s="17"/>
      <c r="F69" s="17"/>
      <c r="G69" s="20"/>
      <c r="H69" s="2"/>
      <c r="I69" s="44"/>
      <c r="J69" s="44"/>
    </row>
    <row r="70" spans="1:12" ht="13.5" customHeight="1">
      <c r="A70" s="2"/>
      <c r="B70" s="46"/>
      <c r="D70" s="24" t="s">
        <v>31</v>
      </c>
      <c r="E70" s="17"/>
      <c r="F70" s="17"/>
      <c r="G70" s="20"/>
      <c r="H70" s="2"/>
      <c r="I70" s="43"/>
      <c r="J70" s="44"/>
      <c r="L70" s="47"/>
    </row>
    <row r="71" spans="1:12" ht="13.5" customHeight="1">
      <c r="A71" s="2"/>
      <c r="B71" s="34"/>
      <c r="C71" s="17" t="s">
        <v>28</v>
      </c>
      <c r="D71" s="106" t="s">
        <v>146</v>
      </c>
      <c r="E71" s="17"/>
      <c r="F71" s="17"/>
      <c r="G71" s="20"/>
      <c r="H71" s="2"/>
      <c r="I71" s="43"/>
      <c r="J71" s="44"/>
      <c r="L71" s="47"/>
    </row>
    <row r="72" spans="1:12" ht="13.5" customHeight="1">
      <c r="A72" s="2"/>
      <c r="B72" s="34"/>
      <c r="C72" s="17" t="s">
        <v>23</v>
      </c>
      <c r="D72" s="105" t="s">
        <v>397</v>
      </c>
      <c r="E72" s="17"/>
      <c r="F72" s="17"/>
      <c r="G72" s="20"/>
      <c r="H72" s="2"/>
      <c r="I72" s="43"/>
      <c r="J72" s="44"/>
      <c r="L72" s="47"/>
    </row>
    <row r="73" spans="1:12" ht="13.5" customHeight="1">
      <c r="A73" s="2"/>
      <c r="B73" s="46"/>
      <c r="C73" s="17"/>
      <c r="D73" s="105"/>
      <c r="E73" s="17"/>
      <c r="F73" s="17"/>
      <c r="G73" s="20"/>
      <c r="H73" s="2"/>
      <c r="I73" s="43"/>
      <c r="J73" s="44"/>
      <c r="L73" s="48"/>
    </row>
    <row r="74" spans="1:12" ht="13.5" customHeight="1">
      <c r="A74" s="2"/>
      <c r="B74" s="34"/>
      <c r="C74" s="17" t="s">
        <v>23</v>
      </c>
      <c r="D74" s="105" t="s">
        <v>87</v>
      </c>
      <c r="E74" s="17"/>
      <c r="F74" s="17"/>
      <c r="G74" s="20"/>
      <c r="H74" s="2"/>
      <c r="I74" s="43"/>
      <c r="J74" s="44"/>
      <c r="L74" s="49"/>
    </row>
    <row r="75" spans="1:12">
      <c r="A75" s="2"/>
      <c r="B75" s="46"/>
      <c r="C75" s="17"/>
      <c r="E75" s="17"/>
      <c r="F75" s="17"/>
      <c r="G75" s="20"/>
      <c r="H75" s="2"/>
      <c r="I75" s="43"/>
      <c r="J75" s="44"/>
    </row>
    <row r="76" spans="1:12">
      <c r="A76" s="2"/>
      <c r="B76" s="34"/>
      <c r="C76" s="17" t="s">
        <v>28</v>
      </c>
      <c r="D76" s="24" t="s">
        <v>32</v>
      </c>
      <c r="E76" s="17"/>
      <c r="F76" s="17"/>
      <c r="G76" s="20"/>
      <c r="H76" s="2"/>
      <c r="I76" s="43"/>
      <c r="J76" s="2"/>
    </row>
    <row r="77" spans="1:12">
      <c r="A77" s="2"/>
      <c r="B77" s="46"/>
      <c r="C77" s="17"/>
      <c r="D77" s="24"/>
      <c r="E77" s="17"/>
      <c r="F77" s="17"/>
      <c r="G77" s="20"/>
      <c r="H77" s="2"/>
      <c r="I77" s="2"/>
      <c r="J77" s="2"/>
    </row>
    <row r="78" spans="1:12">
      <c r="A78" s="2"/>
      <c r="B78" s="46"/>
      <c r="C78" s="17"/>
      <c r="D78" s="24"/>
      <c r="E78" s="17"/>
      <c r="F78" s="17"/>
      <c r="G78" s="20"/>
      <c r="H78" s="2"/>
      <c r="I78" s="2"/>
      <c r="J78" s="2"/>
    </row>
    <row r="79" spans="1:12">
      <c r="A79" s="2"/>
      <c r="B79" s="34"/>
      <c r="C79" s="17"/>
      <c r="D79" s="50" t="s">
        <v>33</v>
      </c>
      <c r="E79" s="17"/>
      <c r="F79" s="17"/>
      <c r="G79" s="20"/>
      <c r="H79" s="2"/>
      <c r="I79" s="27"/>
      <c r="J79" s="2"/>
    </row>
    <row r="80" spans="1:12">
      <c r="A80" s="2"/>
      <c r="B80" s="34"/>
      <c r="C80" s="17"/>
      <c r="D80" s="50"/>
      <c r="E80" s="17"/>
      <c r="F80" s="17"/>
      <c r="G80" s="20"/>
      <c r="H80" s="2"/>
      <c r="I80" s="27"/>
      <c r="J80" s="2"/>
    </row>
    <row r="81" spans="1:10">
      <c r="A81" s="2"/>
      <c r="B81" s="34"/>
      <c r="C81" s="17"/>
      <c r="D81" s="50"/>
      <c r="E81" s="17"/>
      <c r="F81" s="17"/>
      <c r="G81" s="20"/>
      <c r="H81" s="2"/>
      <c r="I81" s="27"/>
      <c r="J81" s="2"/>
    </row>
    <row r="82" spans="1:10">
      <c r="A82" s="2"/>
      <c r="B82" s="34"/>
      <c r="C82" s="17"/>
      <c r="D82" s="50"/>
      <c r="E82" s="17"/>
      <c r="F82" s="17"/>
      <c r="G82" s="20"/>
      <c r="H82" s="2"/>
      <c r="I82" s="27"/>
      <c r="J82" s="2"/>
    </row>
    <row r="83" spans="1:10">
      <c r="A83" s="2"/>
      <c r="B83" s="34"/>
      <c r="C83" s="17"/>
      <c r="D83" s="24"/>
      <c r="E83" s="17"/>
      <c r="F83" s="17"/>
      <c r="G83" s="20"/>
      <c r="H83" s="2"/>
      <c r="I83" s="27"/>
      <c r="J83" s="2"/>
    </row>
    <row r="84" spans="1:10">
      <c r="A84" s="2"/>
      <c r="B84" s="36"/>
      <c r="C84" s="37"/>
      <c r="D84" s="38"/>
      <c r="E84" s="37"/>
      <c r="F84" s="37"/>
      <c r="G84" s="39"/>
      <c r="H84" s="2"/>
      <c r="I84" s="27"/>
      <c r="J84" s="2"/>
    </row>
    <row r="85" spans="1:10" ht="13.5" thickBot="1">
      <c r="A85" s="2"/>
      <c r="B85" s="17"/>
      <c r="C85" s="17"/>
      <c r="D85" s="24"/>
      <c r="E85" s="17"/>
      <c r="F85" s="17"/>
      <c r="G85" s="17"/>
      <c r="H85" s="2"/>
      <c r="I85" s="26"/>
      <c r="J85" s="2"/>
    </row>
    <row r="86" spans="1:10" ht="15">
      <c r="A86" s="2"/>
      <c r="B86" s="12">
        <f>SUM(B92,B94,B96:B99,B102:B102,B104:B104,B106:B112,B114:B117,B119:B120,B122:B122,B124:B125,B127:B130,B132:B136)</f>
        <v>0</v>
      </c>
      <c r="C86" s="32" t="s">
        <v>356</v>
      </c>
      <c r="D86" s="14" t="s">
        <v>34</v>
      </c>
      <c r="E86" s="15"/>
      <c r="F86" s="15"/>
      <c r="G86" s="33"/>
      <c r="H86" s="2"/>
      <c r="I86" s="26"/>
      <c r="J86" s="11"/>
    </row>
    <row r="87" spans="1:10" ht="15">
      <c r="A87" s="2"/>
      <c r="B87" s="51"/>
      <c r="C87" s="42" t="s">
        <v>25</v>
      </c>
      <c r="D87" s="52"/>
      <c r="E87" s="17"/>
      <c r="F87" s="17"/>
      <c r="G87" s="115"/>
      <c r="H87" s="2"/>
      <c r="I87" s="27"/>
      <c r="J87" s="2"/>
    </row>
    <row r="88" spans="1:10" ht="15">
      <c r="A88" s="2"/>
      <c r="B88" s="51"/>
      <c r="C88" s="42"/>
      <c r="D88" s="52"/>
      <c r="E88" s="17"/>
      <c r="F88" s="17"/>
      <c r="G88" s="20"/>
      <c r="H88" s="2"/>
      <c r="I88" s="27"/>
      <c r="J88" s="2"/>
    </row>
    <row r="89" spans="1:10" ht="13.15" customHeight="1">
      <c r="A89" s="53" t="s">
        <v>124</v>
      </c>
      <c r="B89" s="34"/>
      <c r="C89" s="42" t="s">
        <v>28</v>
      </c>
      <c r="D89" s="2" t="s">
        <v>147</v>
      </c>
      <c r="E89" s="17"/>
      <c r="F89" s="17"/>
      <c r="G89" s="20"/>
      <c r="H89" s="127"/>
      <c r="I89" s="27"/>
      <c r="J89" s="2"/>
    </row>
    <row r="90" spans="1:10">
      <c r="A90" s="53"/>
      <c r="B90" s="34"/>
      <c r="C90" s="42" t="s">
        <v>28</v>
      </c>
      <c r="D90" s="2" t="s">
        <v>36</v>
      </c>
      <c r="E90" s="17"/>
      <c r="F90" s="17"/>
      <c r="G90" s="20"/>
      <c r="H90" s="127"/>
      <c r="I90" s="27"/>
      <c r="J90" s="2"/>
    </row>
    <row r="91" spans="1:10">
      <c r="A91" s="2"/>
      <c r="B91" s="34"/>
      <c r="C91" s="42" t="s">
        <v>28</v>
      </c>
      <c r="D91" s="2" t="s">
        <v>35</v>
      </c>
      <c r="E91" s="17"/>
      <c r="F91" s="17"/>
      <c r="G91" s="20"/>
      <c r="H91" s="127"/>
      <c r="I91" s="27"/>
      <c r="J91" s="2"/>
    </row>
    <row r="92" spans="1:10">
      <c r="A92" s="2"/>
      <c r="B92" s="51">
        <f>MIN(SUM(B89:B91),2)</f>
        <v>0</v>
      </c>
      <c r="C92" s="42" t="s">
        <v>26</v>
      </c>
      <c r="D92" s="2" t="s">
        <v>158</v>
      </c>
      <c r="E92" s="17"/>
      <c r="F92" s="17"/>
      <c r="G92" s="20"/>
      <c r="H92" s="128"/>
      <c r="I92" s="2"/>
      <c r="J92" s="2"/>
    </row>
    <row r="93" spans="1:10">
      <c r="A93" s="2"/>
      <c r="B93" s="51"/>
      <c r="C93" s="42"/>
      <c r="D93" s="2"/>
      <c r="E93" s="17"/>
      <c r="F93" s="17"/>
      <c r="G93" s="20"/>
      <c r="H93" s="128"/>
      <c r="I93" s="2"/>
      <c r="J93" s="2"/>
    </row>
    <row r="94" spans="1:10">
      <c r="A94" s="53" t="s">
        <v>354</v>
      </c>
      <c r="B94" s="34"/>
      <c r="C94" s="42" t="s">
        <v>28</v>
      </c>
      <c r="D94" s="2" t="s">
        <v>331</v>
      </c>
      <c r="E94" s="17"/>
      <c r="F94" s="17"/>
      <c r="G94" s="20"/>
      <c r="H94" s="128"/>
      <c r="I94" s="2"/>
      <c r="J94" s="2"/>
    </row>
    <row r="95" spans="1:10">
      <c r="A95" s="2"/>
      <c r="B95" s="51"/>
      <c r="C95" s="42"/>
      <c r="D95" s="54"/>
      <c r="E95" s="17"/>
      <c r="F95" s="17"/>
      <c r="G95" s="20"/>
      <c r="H95" s="2"/>
      <c r="I95" s="2"/>
      <c r="J95" s="2"/>
    </row>
    <row r="96" spans="1:10">
      <c r="A96" s="53" t="s">
        <v>37</v>
      </c>
      <c r="B96" s="34"/>
      <c r="C96" s="42" t="s">
        <v>28</v>
      </c>
      <c r="D96" s="2" t="s">
        <v>145</v>
      </c>
      <c r="E96" s="17"/>
      <c r="F96" s="17"/>
      <c r="G96" s="20"/>
      <c r="H96" s="2"/>
      <c r="I96" s="27"/>
      <c r="J96" s="54"/>
    </row>
    <row r="97" spans="1:10">
      <c r="A97" s="2"/>
      <c r="B97" s="34"/>
      <c r="C97" s="42" t="s">
        <v>28</v>
      </c>
      <c r="D97" s="2" t="s">
        <v>88</v>
      </c>
      <c r="E97" s="17"/>
      <c r="F97" s="17"/>
      <c r="G97" s="20"/>
      <c r="H97" s="2"/>
      <c r="I97" s="27"/>
      <c r="J97" s="54"/>
    </row>
    <row r="98" spans="1:10">
      <c r="A98" s="2"/>
      <c r="B98" s="34"/>
      <c r="C98" s="42" t="s">
        <v>28</v>
      </c>
      <c r="D98" s="2" t="s">
        <v>367</v>
      </c>
      <c r="E98" s="17"/>
      <c r="F98" s="17"/>
      <c r="G98" s="20"/>
      <c r="H98" s="2"/>
      <c r="I98" s="27"/>
      <c r="J98" s="54"/>
    </row>
    <row r="99" spans="1:10">
      <c r="A99" s="2"/>
      <c r="B99" s="34"/>
      <c r="C99" s="42" t="s">
        <v>28</v>
      </c>
      <c r="D99" s="2" t="s">
        <v>358</v>
      </c>
      <c r="E99" s="17"/>
      <c r="F99" s="17"/>
      <c r="G99" s="20"/>
      <c r="H99" s="2"/>
      <c r="I99" s="27"/>
      <c r="J99" s="2"/>
    </row>
    <row r="100" spans="1:10">
      <c r="A100" s="2"/>
      <c r="B100" s="51"/>
      <c r="C100" s="42"/>
      <c r="D100" s="2"/>
      <c r="E100" s="17"/>
      <c r="F100" s="17"/>
      <c r="G100" s="20"/>
      <c r="H100" s="2"/>
      <c r="I100" s="2"/>
      <c r="J100" s="2"/>
    </row>
    <row r="101" spans="1:10">
      <c r="A101" s="2"/>
      <c r="B101" s="51"/>
      <c r="C101" s="42"/>
      <c r="D101" s="54"/>
      <c r="E101" s="17"/>
      <c r="F101" s="17"/>
      <c r="G101" s="20"/>
      <c r="H101" s="2"/>
      <c r="I101" s="2"/>
      <c r="J101" s="2"/>
    </row>
    <row r="102" spans="1:10">
      <c r="A102" s="53" t="s">
        <v>38</v>
      </c>
      <c r="B102" s="34"/>
      <c r="C102" s="42" t="s">
        <v>28</v>
      </c>
      <c r="D102" s="2" t="s">
        <v>171</v>
      </c>
      <c r="E102" s="17"/>
      <c r="F102" s="17"/>
      <c r="G102" s="20"/>
      <c r="H102" s="2"/>
      <c r="I102" s="27"/>
      <c r="J102" s="2"/>
    </row>
    <row r="103" spans="1:10">
      <c r="A103" s="2"/>
      <c r="B103" s="51"/>
      <c r="C103" s="42"/>
      <c r="D103" s="54"/>
      <c r="E103" s="17"/>
      <c r="F103" s="17"/>
      <c r="G103" s="20"/>
      <c r="H103" s="2"/>
    </row>
    <row r="104" spans="1:10">
      <c r="A104" s="53" t="s">
        <v>39</v>
      </c>
      <c r="B104" s="34"/>
      <c r="C104" s="42" t="s">
        <v>28</v>
      </c>
      <c r="D104" s="54" t="s">
        <v>355</v>
      </c>
      <c r="E104" s="17"/>
      <c r="F104" s="17"/>
      <c r="G104" s="20"/>
      <c r="H104" s="2"/>
      <c r="I104" s="27"/>
      <c r="J104" s="54"/>
    </row>
    <row r="105" spans="1:10">
      <c r="A105" s="2"/>
      <c r="B105" s="51"/>
      <c r="C105" s="42"/>
      <c r="D105" s="54"/>
      <c r="E105" s="17"/>
      <c r="F105" s="17"/>
      <c r="G105" s="20"/>
      <c r="H105" s="2"/>
      <c r="I105" s="2"/>
      <c r="J105" s="2"/>
    </row>
    <row r="106" spans="1:10">
      <c r="A106" s="53" t="s">
        <v>90</v>
      </c>
      <c r="B106" s="34"/>
      <c r="C106" s="42" t="s">
        <v>28</v>
      </c>
      <c r="D106" s="2" t="s">
        <v>359</v>
      </c>
      <c r="E106" s="17"/>
      <c r="F106" s="17"/>
      <c r="G106" s="20"/>
      <c r="H106" s="2"/>
      <c r="I106" s="27"/>
      <c r="J106" s="2"/>
    </row>
    <row r="107" spans="1:10">
      <c r="A107" s="53"/>
      <c r="B107" s="34"/>
      <c r="C107" s="42" t="s">
        <v>28</v>
      </c>
      <c r="D107" s="2" t="s">
        <v>360</v>
      </c>
      <c r="E107" s="17"/>
      <c r="F107" s="17"/>
      <c r="G107" s="20"/>
      <c r="H107" s="2"/>
      <c r="I107" s="27"/>
      <c r="J107" s="2"/>
    </row>
    <row r="108" spans="1:10">
      <c r="A108" s="53"/>
      <c r="B108" s="34"/>
      <c r="C108" s="42" t="s">
        <v>28</v>
      </c>
      <c r="D108" s="2" t="s">
        <v>361</v>
      </c>
      <c r="E108" s="17"/>
      <c r="F108" s="17"/>
      <c r="G108" s="20"/>
      <c r="H108" s="2"/>
      <c r="I108" s="27"/>
      <c r="J108" s="2"/>
    </row>
    <row r="109" spans="1:10">
      <c r="A109" s="53"/>
      <c r="B109" s="34"/>
      <c r="C109" s="42" t="s">
        <v>28</v>
      </c>
      <c r="D109" s="2" t="s">
        <v>362</v>
      </c>
      <c r="E109" s="17"/>
      <c r="F109" s="17"/>
      <c r="G109" s="20"/>
      <c r="H109" s="2"/>
      <c r="I109" s="27"/>
      <c r="J109" s="2"/>
    </row>
    <row r="110" spans="1:10">
      <c r="A110" s="53"/>
      <c r="B110" s="51"/>
      <c r="C110" s="42"/>
      <c r="D110" s="2"/>
      <c r="E110" s="17"/>
      <c r="F110" s="17"/>
      <c r="G110" s="20"/>
      <c r="H110" s="2"/>
      <c r="I110" s="27"/>
      <c r="J110" s="2"/>
    </row>
    <row r="111" spans="1:10" ht="91.9" customHeight="1">
      <c r="A111" s="53" t="s">
        <v>42</v>
      </c>
      <c r="B111" s="34"/>
      <c r="C111" s="42" t="s">
        <v>26</v>
      </c>
      <c r="D111" s="168" t="s">
        <v>391</v>
      </c>
      <c r="E111" s="168"/>
      <c r="F111" s="168"/>
      <c r="G111" s="169"/>
      <c r="H111" s="2"/>
      <c r="I111" s="27"/>
      <c r="J111" s="2"/>
    </row>
    <row r="112" spans="1:10" ht="92.25" customHeight="1">
      <c r="A112" s="53"/>
      <c r="B112" s="34"/>
      <c r="C112" s="42" t="s">
        <v>26</v>
      </c>
      <c r="D112" s="168" t="s">
        <v>392</v>
      </c>
      <c r="E112" s="168"/>
      <c r="F112" s="168"/>
      <c r="G112" s="169"/>
      <c r="H112" s="2"/>
      <c r="I112" s="27"/>
      <c r="J112" s="2"/>
    </row>
    <row r="113" spans="1:10">
      <c r="B113" s="51"/>
      <c r="C113" s="42"/>
      <c r="D113" s="2"/>
      <c r="E113" s="17"/>
      <c r="F113" s="17"/>
      <c r="G113" s="20"/>
      <c r="H113" s="2"/>
      <c r="I113" s="2"/>
      <c r="J113" s="2"/>
    </row>
    <row r="114" spans="1:10">
      <c r="A114" s="53" t="s">
        <v>43</v>
      </c>
      <c r="B114" s="34"/>
      <c r="C114" s="42" t="s">
        <v>28</v>
      </c>
      <c r="D114" s="49" t="s">
        <v>89</v>
      </c>
      <c r="E114" s="17"/>
      <c r="F114" s="17"/>
      <c r="G114" s="20"/>
      <c r="H114" s="2"/>
      <c r="I114" s="27"/>
      <c r="J114" s="2"/>
    </row>
    <row r="115" spans="1:10">
      <c r="A115" s="2"/>
      <c r="B115" s="34"/>
      <c r="C115" s="42" t="s">
        <v>28</v>
      </c>
      <c r="D115" s="49" t="s">
        <v>159</v>
      </c>
      <c r="F115" s="17"/>
      <c r="G115" s="20"/>
      <c r="H115" s="2"/>
      <c r="I115" s="27"/>
      <c r="J115" s="54"/>
    </row>
    <row r="116" spans="1:10">
      <c r="A116" s="2"/>
      <c r="B116" s="34"/>
      <c r="C116" s="42" t="s">
        <v>28</v>
      </c>
      <c r="D116" s="54" t="s">
        <v>160</v>
      </c>
      <c r="E116" s="17"/>
      <c r="F116" s="17"/>
      <c r="G116" s="20"/>
      <c r="H116" s="2"/>
      <c r="I116" s="27"/>
      <c r="J116" s="54"/>
    </row>
    <row r="117" spans="1:10">
      <c r="A117" s="2"/>
      <c r="B117" s="34"/>
      <c r="C117" s="42" t="s">
        <v>28</v>
      </c>
      <c r="D117" s="54" t="s">
        <v>41</v>
      </c>
      <c r="E117" s="17"/>
      <c r="F117" s="17"/>
      <c r="G117" s="20"/>
      <c r="H117" s="2"/>
      <c r="I117" s="27"/>
      <c r="J117" s="54"/>
    </row>
    <row r="118" spans="1:10">
      <c r="A118" s="2"/>
      <c r="B118" s="51"/>
      <c r="C118" s="42"/>
      <c r="D118" s="114"/>
      <c r="E118" s="17"/>
      <c r="F118" s="17"/>
      <c r="G118" s="20"/>
      <c r="H118" s="2"/>
      <c r="I118" s="2"/>
      <c r="J118" s="2"/>
    </row>
    <row r="119" spans="1:10">
      <c r="A119" s="53" t="s">
        <v>44</v>
      </c>
      <c r="B119" s="34"/>
      <c r="C119" s="42" t="s">
        <v>28</v>
      </c>
      <c r="D119" s="54" t="s">
        <v>363</v>
      </c>
      <c r="E119" s="17"/>
      <c r="F119" s="17"/>
      <c r="G119" s="20"/>
      <c r="H119" s="2"/>
      <c r="I119" s="27"/>
      <c r="J119" s="54"/>
    </row>
    <row r="120" spans="1:10">
      <c r="A120" s="2"/>
      <c r="B120" s="34"/>
      <c r="C120" s="42" t="s">
        <v>28</v>
      </c>
      <c r="D120" s="54" t="s">
        <v>368</v>
      </c>
      <c r="E120" s="17"/>
      <c r="F120" s="17"/>
      <c r="G120" s="20"/>
      <c r="H120" s="2"/>
      <c r="I120" s="27"/>
      <c r="J120" s="54"/>
    </row>
    <row r="121" spans="1:10">
      <c r="A121" s="2"/>
      <c r="B121" s="51"/>
      <c r="C121" s="42"/>
      <c r="D121" s="54"/>
      <c r="E121" s="17"/>
      <c r="F121" s="17"/>
      <c r="G121" s="20"/>
      <c r="H121" s="2"/>
      <c r="I121" s="2"/>
      <c r="J121" s="2"/>
    </row>
    <row r="122" spans="1:10">
      <c r="A122" s="53" t="s">
        <v>332</v>
      </c>
      <c r="B122" s="34"/>
      <c r="C122" s="42" t="s">
        <v>26</v>
      </c>
      <c r="D122" s="49" t="s">
        <v>364</v>
      </c>
      <c r="E122" s="17"/>
      <c r="F122" s="17"/>
      <c r="G122" s="20"/>
      <c r="H122" s="2"/>
      <c r="I122" s="27"/>
      <c r="J122" s="54"/>
    </row>
    <row r="123" spans="1:10">
      <c r="A123" s="2"/>
      <c r="B123" s="51"/>
      <c r="C123" s="42"/>
      <c r="D123" s="54"/>
      <c r="E123" s="17"/>
      <c r="F123" s="17"/>
      <c r="G123" s="20"/>
      <c r="H123" s="2"/>
      <c r="I123" s="2"/>
      <c r="J123" s="2"/>
    </row>
    <row r="124" spans="1:10">
      <c r="A124" s="53" t="s">
        <v>333</v>
      </c>
      <c r="B124" s="34"/>
      <c r="C124" s="42" t="s">
        <v>26</v>
      </c>
      <c r="D124" s="49" t="s">
        <v>393</v>
      </c>
      <c r="E124" s="17"/>
      <c r="F124" s="17"/>
      <c r="G124" s="20"/>
      <c r="H124" s="2"/>
      <c r="I124" s="27"/>
      <c r="J124" s="54"/>
    </row>
    <row r="125" spans="1:10">
      <c r="A125" s="53"/>
      <c r="B125" s="34"/>
      <c r="C125" s="42" t="s">
        <v>26</v>
      </c>
      <c r="D125" s="49" t="s">
        <v>365</v>
      </c>
      <c r="E125" s="17"/>
      <c r="F125" s="17"/>
      <c r="G125" s="20"/>
      <c r="H125" s="2"/>
      <c r="I125" s="27"/>
      <c r="J125" s="54"/>
    </row>
    <row r="126" spans="1:10">
      <c r="A126" s="2"/>
      <c r="B126" s="51"/>
      <c r="C126" s="42"/>
      <c r="D126" s="54"/>
      <c r="E126" s="17"/>
      <c r="F126" s="17"/>
      <c r="G126" s="20"/>
      <c r="H126" s="2"/>
      <c r="I126" s="2"/>
      <c r="J126" s="2"/>
    </row>
    <row r="127" spans="1:10">
      <c r="A127" s="53" t="s">
        <v>341</v>
      </c>
      <c r="B127" s="34"/>
      <c r="C127" s="42" t="s">
        <v>28</v>
      </c>
      <c r="D127" s="49" t="s">
        <v>89</v>
      </c>
      <c r="E127" s="17"/>
      <c r="F127" s="17"/>
      <c r="G127" s="20"/>
      <c r="H127" s="2"/>
      <c r="I127" s="27"/>
      <c r="J127" s="54"/>
    </row>
    <row r="128" spans="1:10">
      <c r="A128" s="2"/>
      <c r="B128" s="34"/>
      <c r="C128" s="42" t="s">
        <v>28</v>
      </c>
      <c r="D128" s="54" t="s">
        <v>40</v>
      </c>
      <c r="E128" s="17"/>
      <c r="F128" s="17"/>
      <c r="G128" s="20"/>
      <c r="H128" s="2"/>
      <c r="I128" s="27"/>
      <c r="J128" s="54"/>
    </row>
    <row r="129" spans="1:12">
      <c r="A129" s="2"/>
      <c r="B129" s="34"/>
      <c r="C129" s="42" t="s">
        <v>28</v>
      </c>
      <c r="D129" s="49" t="s">
        <v>118</v>
      </c>
      <c r="E129" s="17"/>
      <c r="F129" s="17"/>
      <c r="G129" s="20"/>
      <c r="H129" s="2"/>
      <c r="I129" s="27"/>
      <c r="J129" s="2"/>
    </row>
    <row r="130" spans="1:12">
      <c r="A130" s="2"/>
      <c r="B130" s="34"/>
      <c r="C130" s="42" t="s">
        <v>28</v>
      </c>
      <c r="D130" s="54" t="s">
        <v>41</v>
      </c>
      <c r="E130" s="17"/>
      <c r="F130" s="17"/>
      <c r="G130" s="20"/>
      <c r="H130" s="2"/>
      <c r="I130" s="27"/>
      <c r="J130" s="2"/>
    </row>
    <row r="131" spans="1:12">
      <c r="A131" s="2"/>
      <c r="B131" s="46"/>
      <c r="C131" s="17"/>
      <c r="D131" s="48"/>
      <c r="E131" s="17"/>
      <c r="F131" s="17"/>
      <c r="G131" s="20"/>
      <c r="H131" s="2"/>
      <c r="I131" s="2"/>
      <c r="J131" s="2"/>
    </row>
    <row r="132" spans="1:12">
      <c r="A132" s="2"/>
      <c r="B132" s="34"/>
      <c r="C132" s="17"/>
      <c r="D132" s="50" t="s">
        <v>33</v>
      </c>
      <c r="E132" s="17"/>
      <c r="F132" s="17"/>
      <c r="G132" s="20"/>
      <c r="H132" s="2"/>
      <c r="I132" s="27"/>
      <c r="J132" s="2"/>
      <c r="K132" s="48"/>
    </row>
    <row r="133" spans="1:12">
      <c r="A133" s="2"/>
      <c r="B133" s="34"/>
      <c r="C133" s="17"/>
      <c r="E133" s="17"/>
      <c r="F133" s="17"/>
      <c r="G133" s="20"/>
      <c r="H133" s="2"/>
      <c r="I133" s="27"/>
      <c r="J133" s="2"/>
      <c r="K133" s="49"/>
      <c r="L133" s="17"/>
    </row>
    <row r="134" spans="1:12">
      <c r="A134" s="2"/>
      <c r="B134" s="34"/>
      <c r="C134" s="17"/>
      <c r="D134" s="47"/>
      <c r="E134" s="17"/>
      <c r="F134" s="17"/>
      <c r="G134" s="20"/>
      <c r="H134" s="2"/>
      <c r="I134" s="27"/>
      <c r="J134" s="2"/>
      <c r="K134" s="47"/>
      <c r="L134" s="17"/>
    </row>
    <row r="135" spans="1:12">
      <c r="A135" s="2"/>
      <c r="B135" s="34"/>
      <c r="C135" s="17"/>
      <c r="D135" s="49"/>
      <c r="E135" s="17"/>
      <c r="F135" s="17"/>
      <c r="G135" s="20"/>
      <c r="H135" s="2"/>
      <c r="I135" s="27"/>
      <c r="J135" s="2"/>
      <c r="K135" s="47"/>
      <c r="L135" s="17"/>
    </row>
    <row r="136" spans="1:12" ht="13.5" thickBot="1">
      <c r="A136" s="2"/>
      <c r="B136" s="56"/>
      <c r="C136" s="30"/>
      <c r="D136" s="57"/>
      <c r="E136" s="30"/>
      <c r="F136" s="30"/>
      <c r="G136" s="31"/>
      <c r="H136" s="2"/>
      <c r="I136" s="27"/>
      <c r="J136" s="2"/>
      <c r="K136" s="55"/>
      <c r="L136" s="17"/>
    </row>
    <row r="137" spans="1:12" ht="15">
      <c r="A137" s="2"/>
      <c r="B137" s="12">
        <f>B139+B151</f>
        <v>0</v>
      </c>
      <c r="C137" s="32" t="s">
        <v>343</v>
      </c>
      <c r="D137" s="14" t="s">
        <v>58</v>
      </c>
      <c r="E137" s="17"/>
      <c r="F137" s="17"/>
      <c r="G137" s="20"/>
      <c r="H137" s="2"/>
      <c r="I137" s="58"/>
      <c r="J137" s="2"/>
      <c r="K137" s="55"/>
      <c r="L137" s="17"/>
    </row>
    <row r="138" spans="1:12">
      <c r="A138" s="2"/>
      <c r="B138" s="82"/>
      <c r="C138" s="17"/>
      <c r="D138" s="49"/>
      <c r="E138" s="17"/>
      <c r="F138" s="17"/>
      <c r="G138" s="20"/>
      <c r="H138" s="2"/>
      <c r="I138" s="58"/>
      <c r="J138" s="2"/>
      <c r="K138" s="55"/>
      <c r="L138" s="17"/>
    </row>
    <row r="139" spans="1:12">
      <c r="A139" s="53" t="s">
        <v>156</v>
      </c>
      <c r="B139" s="59">
        <f>MIN(SUM(B141:B146,B149),5)</f>
        <v>0</v>
      </c>
      <c r="C139" s="17" t="s">
        <v>342</v>
      </c>
      <c r="D139" s="60" t="s">
        <v>59</v>
      </c>
      <c r="E139" s="17"/>
      <c r="F139" s="17"/>
      <c r="G139" s="20"/>
      <c r="H139" s="2"/>
      <c r="I139" s="58"/>
      <c r="J139" s="2"/>
      <c r="K139" s="55"/>
      <c r="L139" s="17"/>
    </row>
    <row r="140" spans="1:12">
      <c r="A140" s="2"/>
      <c r="B140" s="59"/>
      <c r="C140" s="17"/>
      <c r="D140" s="60" t="s">
        <v>334</v>
      </c>
      <c r="E140" s="17"/>
      <c r="F140" s="17"/>
      <c r="G140" s="20"/>
      <c r="H140" s="2"/>
      <c r="I140" s="58"/>
      <c r="J140" s="2"/>
      <c r="K140" s="55"/>
      <c r="L140" s="17"/>
    </row>
    <row r="141" spans="1:12">
      <c r="A141" s="53"/>
      <c r="B141" s="34"/>
      <c r="C141" s="42" t="s">
        <v>26</v>
      </c>
      <c r="D141" s="49" t="s">
        <v>91</v>
      </c>
      <c r="E141" s="17"/>
      <c r="F141" s="17"/>
      <c r="G141" s="20"/>
      <c r="H141" s="2"/>
      <c r="I141" s="27"/>
      <c r="J141" s="2"/>
      <c r="K141" s="55"/>
      <c r="L141" s="17"/>
    </row>
    <row r="142" spans="1:12">
      <c r="A142" s="2"/>
      <c r="B142" s="34"/>
      <c r="C142" s="42" t="s">
        <v>26</v>
      </c>
      <c r="D142" s="49" t="s">
        <v>92</v>
      </c>
      <c r="E142" s="17"/>
      <c r="F142" s="17"/>
      <c r="G142" s="20"/>
      <c r="H142" s="2"/>
      <c r="I142" s="27"/>
      <c r="J142" s="2"/>
      <c r="K142" s="55"/>
      <c r="L142" s="17"/>
    </row>
    <row r="143" spans="1:12">
      <c r="A143" s="2"/>
      <c r="B143" s="34"/>
      <c r="C143" s="42" t="s">
        <v>28</v>
      </c>
      <c r="D143" s="49" t="s">
        <v>93</v>
      </c>
      <c r="E143" s="17"/>
      <c r="F143" s="17"/>
      <c r="G143" s="20"/>
      <c r="H143" s="2"/>
      <c r="I143" s="27"/>
      <c r="J143" s="2"/>
      <c r="K143" s="55"/>
      <c r="L143" s="17"/>
    </row>
    <row r="144" spans="1:12" ht="15" customHeight="1">
      <c r="A144" s="2"/>
      <c r="B144" s="34"/>
      <c r="C144" s="42" t="s">
        <v>28</v>
      </c>
      <c r="D144" s="49" t="s">
        <v>119</v>
      </c>
      <c r="E144" s="17"/>
      <c r="F144" s="17"/>
      <c r="G144" s="20"/>
      <c r="H144" s="2"/>
      <c r="I144" s="27"/>
      <c r="J144" s="2"/>
      <c r="K144" s="55"/>
      <c r="L144" s="17"/>
    </row>
    <row r="145" spans="1:12" ht="15" customHeight="1">
      <c r="A145" s="2"/>
      <c r="B145" s="34"/>
      <c r="C145" s="42" t="s">
        <v>28</v>
      </c>
      <c r="D145" s="49" t="s">
        <v>120</v>
      </c>
      <c r="E145" s="17"/>
      <c r="F145" s="17"/>
      <c r="G145" s="20"/>
      <c r="H145" s="2"/>
      <c r="I145" s="27"/>
      <c r="J145" s="2"/>
      <c r="K145" s="55"/>
      <c r="L145" s="17"/>
    </row>
    <row r="146" spans="1:12" ht="15" customHeight="1">
      <c r="A146" s="2"/>
      <c r="B146" s="34"/>
      <c r="C146" s="42" t="s">
        <v>28</v>
      </c>
      <c r="D146" s="49" t="s">
        <v>112</v>
      </c>
      <c r="E146" s="17"/>
      <c r="F146" s="17"/>
      <c r="G146" s="20"/>
      <c r="H146" s="2"/>
      <c r="I146" s="27"/>
      <c r="J146" s="2"/>
      <c r="K146" s="55"/>
      <c r="L146" s="17"/>
    </row>
    <row r="147" spans="1:12">
      <c r="A147" s="2"/>
      <c r="B147" s="19"/>
      <c r="C147" s="17"/>
      <c r="D147" s="49"/>
      <c r="E147" s="17"/>
      <c r="F147" s="17"/>
      <c r="G147" s="20"/>
      <c r="H147" s="2"/>
      <c r="I147" s="58"/>
      <c r="J147" s="2"/>
      <c r="K147" s="55"/>
      <c r="L147" s="17"/>
    </row>
    <row r="148" spans="1:12">
      <c r="A148" s="2"/>
      <c r="B148" s="19"/>
      <c r="C148" s="17"/>
      <c r="D148" s="49"/>
      <c r="E148" s="17"/>
      <c r="F148" s="17"/>
      <c r="G148" s="20"/>
      <c r="H148" s="2"/>
      <c r="I148" s="58"/>
      <c r="J148" s="2"/>
      <c r="K148" s="55"/>
      <c r="L148" s="17"/>
    </row>
    <row r="149" spans="1:12">
      <c r="A149" s="2"/>
      <c r="B149" s="34"/>
      <c r="C149" s="17" t="s">
        <v>28</v>
      </c>
      <c r="D149" s="47" t="s">
        <v>45</v>
      </c>
      <c r="E149" s="17"/>
      <c r="F149" s="17"/>
      <c r="G149" s="20"/>
      <c r="H149" s="2"/>
      <c r="I149" s="27"/>
      <c r="J149" s="2"/>
      <c r="K149" s="55"/>
      <c r="L149" s="17"/>
    </row>
    <row r="150" spans="1:12">
      <c r="A150" s="2"/>
      <c r="B150" s="19"/>
      <c r="C150" s="17"/>
      <c r="D150" s="24"/>
      <c r="E150" s="17"/>
      <c r="F150" s="17"/>
      <c r="G150" s="20"/>
      <c r="H150" s="2"/>
      <c r="I150" s="58"/>
      <c r="J150" s="2"/>
      <c r="K150" s="55"/>
      <c r="L150" s="17"/>
    </row>
    <row r="151" spans="1:12">
      <c r="A151" s="2"/>
      <c r="B151" s="59">
        <f>MIN(SUM(B153:B166,B168),8)</f>
        <v>0</v>
      </c>
      <c r="C151" s="17" t="s">
        <v>157</v>
      </c>
      <c r="D151" s="60" t="s">
        <v>161</v>
      </c>
      <c r="E151" s="47"/>
      <c r="F151" s="47"/>
      <c r="G151" s="61"/>
      <c r="H151" s="2"/>
      <c r="I151" s="26"/>
      <c r="J151" s="2"/>
      <c r="K151" s="55"/>
      <c r="L151" s="17"/>
    </row>
    <row r="152" spans="1:12">
      <c r="A152" s="2"/>
      <c r="B152" s="19"/>
      <c r="C152" s="17"/>
      <c r="D152" s="60" t="s">
        <v>310</v>
      </c>
      <c r="E152" s="17"/>
      <c r="F152" s="17"/>
      <c r="G152" s="20"/>
      <c r="H152" s="2"/>
      <c r="I152" s="26"/>
      <c r="J152" s="2"/>
      <c r="K152" s="55"/>
      <c r="L152" s="17"/>
    </row>
    <row r="153" spans="1:12">
      <c r="A153" s="2"/>
      <c r="B153" s="19"/>
      <c r="C153" s="42" t="s">
        <v>25</v>
      </c>
      <c r="D153" s="49"/>
      <c r="E153" s="17"/>
      <c r="F153" s="17"/>
      <c r="G153" s="113"/>
      <c r="H153" s="2"/>
      <c r="I153" s="27"/>
      <c r="J153" s="2"/>
      <c r="K153" s="55"/>
      <c r="L153" s="17"/>
    </row>
    <row r="154" spans="1:12">
      <c r="A154" s="2"/>
      <c r="B154" s="34"/>
      <c r="C154" s="42" t="s">
        <v>28</v>
      </c>
      <c r="D154" s="49" t="s">
        <v>369</v>
      </c>
      <c r="E154" s="17"/>
      <c r="F154" s="17"/>
      <c r="G154" s="20"/>
      <c r="H154" s="2"/>
      <c r="I154" s="27"/>
      <c r="J154" s="2"/>
      <c r="K154" s="55"/>
      <c r="L154" s="17"/>
    </row>
    <row r="155" spans="1:12">
      <c r="A155" s="2"/>
      <c r="B155" s="34"/>
      <c r="C155" s="42" t="s">
        <v>28</v>
      </c>
      <c r="D155" s="49" t="s">
        <v>115</v>
      </c>
      <c r="E155" s="17"/>
      <c r="F155" s="17"/>
      <c r="G155" s="20"/>
      <c r="H155" s="2"/>
      <c r="I155" s="27"/>
      <c r="J155" s="2"/>
    </row>
    <row r="156" spans="1:12">
      <c r="A156" s="2"/>
      <c r="B156" s="34"/>
      <c r="C156" s="42" t="s">
        <v>28</v>
      </c>
      <c r="D156" s="49" t="s">
        <v>114</v>
      </c>
      <c r="E156" s="17"/>
      <c r="F156" s="17"/>
      <c r="G156" s="20"/>
      <c r="H156" s="2"/>
      <c r="I156" s="27"/>
      <c r="J156" s="2"/>
    </row>
    <row r="157" spans="1:12">
      <c r="A157" s="2"/>
      <c r="B157" s="34"/>
      <c r="C157" s="42" t="s">
        <v>28</v>
      </c>
      <c r="D157" s="49" t="s">
        <v>121</v>
      </c>
      <c r="E157" s="17"/>
      <c r="F157" s="17"/>
      <c r="G157" s="20"/>
      <c r="H157" s="2"/>
      <c r="I157" s="27"/>
      <c r="J157" s="2"/>
    </row>
    <row r="158" spans="1:12">
      <c r="A158" s="2"/>
      <c r="B158" s="34"/>
      <c r="C158" s="42" t="s">
        <v>28</v>
      </c>
      <c r="D158" s="49" t="s">
        <v>113</v>
      </c>
      <c r="E158" s="17"/>
      <c r="F158" s="17"/>
      <c r="G158" s="20"/>
      <c r="H158" s="2"/>
      <c r="I158" s="27"/>
      <c r="J158" s="2"/>
    </row>
    <row r="159" spans="1:12">
      <c r="A159" s="2"/>
      <c r="B159" s="34"/>
      <c r="C159" s="42" t="s">
        <v>28</v>
      </c>
      <c r="D159" s="49" t="s">
        <v>116</v>
      </c>
      <c r="E159" s="17"/>
      <c r="F159" s="17"/>
      <c r="G159" s="20"/>
      <c r="H159" s="2"/>
      <c r="I159" s="27"/>
      <c r="J159" s="2"/>
    </row>
    <row r="160" spans="1:12">
      <c r="A160" s="2"/>
      <c r="B160" s="34"/>
      <c r="C160" s="42" t="s">
        <v>28</v>
      </c>
      <c r="D160" s="49" t="s">
        <v>139</v>
      </c>
      <c r="E160" s="17"/>
      <c r="F160" s="17"/>
      <c r="G160" s="20"/>
      <c r="H160" s="2"/>
      <c r="I160" s="27"/>
      <c r="J160" s="2"/>
    </row>
    <row r="161" spans="1:10">
      <c r="A161" s="2"/>
      <c r="B161" s="34"/>
      <c r="C161" s="42" t="s">
        <v>28</v>
      </c>
      <c r="D161" s="49" t="s">
        <v>370</v>
      </c>
      <c r="E161" s="17"/>
      <c r="F161" s="17"/>
      <c r="G161" s="20"/>
      <c r="H161" s="2"/>
      <c r="I161" s="27"/>
      <c r="J161" s="2"/>
    </row>
    <row r="162" spans="1:10">
      <c r="A162" s="2"/>
      <c r="B162" s="34"/>
      <c r="C162" s="42" t="s">
        <v>28</v>
      </c>
      <c r="D162" s="49" t="s">
        <v>170</v>
      </c>
      <c r="E162" s="17"/>
      <c r="F162" s="17"/>
      <c r="G162" s="20"/>
      <c r="H162" s="2"/>
      <c r="I162" s="27"/>
      <c r="J162" s="2"/>
    </row>
    <row r="163" spans="1:10">
      <c r="A163" s="2"/>
      <c r="B163" s="34"/>
      <c r="C163" s="42" t="s">
        <v>28</v>
      </c>
      <c r="D163" s="49" t="s">
        <v>72</v>
      </c>
      <c r="E163" s="17"/>
      <c r="F163" s="17"/>
      <c r="G163" s="20"/>
      <c r="H163" s="2"/>
      <c r="I163" s="27"/>
      <c r="J163" s="2"/>
    </row>
    <row r="164" spans="1:10">
      <c r="A164" s="2"/>
      <c r="B164" s="34"/>
      <c r="C164" s="42" t="s">
        <v>28</v>
      </c>
      <c r="D164" s="49" t="s">
        <v>169</v>
      </c>
      <c r="E164" s="17"/>
      <c r="F164" s="17"/>
      <c r="G164" s="20"/>
      <c r="H164" s="2"/>
      <c r="I164" s="27"/>
      <c r="J164" s="2"/>
    </row>
    <row r="165" spans="1:10">
      <c r="A165" s="2"/>
      <c r="B165" s="34"/>
      <c r="C165" s="42" t="s">
        <v>28</v>
      </c>
      <c r="D165" s="49" t="s">
        <v>371</v>
      </c>
      <c r="E165" s="17"/>
      <c r="F165" s="17"/>
      <c r="G165" s="20"/>
      <c r="H165" s="2"/>
      <c r="I165" s="27"/>
      <c r="J165" s="2"/>
    </row>
    <row r="166" spans="1:10">
      <c r="A166" s="2"/>
      <c r="B166" s="34"/>
      <c r="C166" s="42" t="s">
        <v>28</v>
      </c>
      <c r="D166" s="49" t="s">
        <v>372</v>
      </c>
      <c r="E166" s="17"/>
      <c r="F166" s="17"/>
      <c r="G166" s="20"/>
      <c r="H166" s="2"/>
      <c r="I166" s="27"/>
      <c r="J166" s="2"/>
    </row>
    <row r="167" spans="1:10">
      <c r="A167" s="2"/>
      <c r="B167" s="19"/>
      <c r="C167" s="17"/>
      <c r="D167" s="62"/>
      <c r="E167" s="17"/>
      <c r="F167" s="17"/>
      <c r="G167" s="113"/>
      <c r="H167" s="2"/>
      <c r="I167" s="27"/>
      <c r="J167" s="2"/>
    </row>
    <row r="168" spans="1:10">
      <c r="A168" s="2"/>
      <c r="B168" s="34"/>
      <c r="C168" s="17"/>
      <c r="D168" s="47" t="s">
        <v>45</v>
      </c>
      <c r="E168" s="17"/>
      <c r="F168" s="17"/>
      <c r="G168" s="20"/>
      <c r="H168" s="2"/>
      <c r="I168" s="2"/>
      <c r="J168" s="2"/>
    </row>
    <row r="169" spans="1:10" ht="13.5" thickBot="1">
      <c r="A169" s="2"/>
      <c r="B169" s="63"/>
      <c r="C169" s="30"/>
      <c r="D169" s="64"/>
      <c r="E169" s="30"/>
      <c r="F169" s="30"/>
      <c r="G169" s="31"/>
      <c r="H169" s="2"/>
      <c r="I169" s="27"/>
      <c r="J169" s="2"/>
    </row>
    <row r="170" spans="1:10">
      <c r="A170" s="2"/>
      <c r="B170" s="17"/>
      <c r="C170" s="17"/>
      <c r="D170" s="50"/>
      <c r="E170" s="17"/>
      <c r="F170" s="17"/>
      <c r="G170" s="17"/>
      <c r="H170" s="2"/>
      <c r="I170" s="26"/>
      <c r="J170" s="2"/>
    </row>
    <row r="171" spans="1:10">
      <c r="A171" s="2"/>
      <c r="B171" s="65"/>
      <c r="C171" s="17"/>
      <c r="D171" s="55"/>
      <c r="E171" s="17"/>
      <c r="F171" s="17"/>
      <c r="G171" s="17"/>
      <c r="H171" s="2"/>
      <c r="I171" s="49"/>
      <c r="J171" s="2"/>
    </row>
    <row r="172" spans="1:10">
      <c r="A172" s="2"/>
      <c r="B172" s="2"/>
      <c r="C172" s="2"/>
      <c r="D172" s="2"/>
      <c r="E172" s="2"/>
      <c r="F172" s="2"/>
      <c r="G172" s="2"/>
      <c r="H172" s="2"/>
      <c r="I172" s="10"/>
      <c r="J172" s="2"/>
    </row>
    <row r="173" spans="1:10" ht="13.5" thickBot="1">
      <c r="A173" s="2"/>
      <c r="B173" s="66" t="s">
        <v>46</v>
      </c>
      <c r="C173" s="2"/>
      <c r="D173" s="2"/>
      <c r="E173" s="2"/>
      <c r="F173" s="2"/>
      <c r="G173" s="2"/>
      <c r="H173" s="2"/>
      <c r="I173" s="10"/>
      <c r="J173" s="67"/>
    </row>
    <row r="174" spans="1:10">
      <c r="A174" s="2"/>
      <c r="B174" s="159"/>
      <c r="C174" s="160"/>
      <c r="D174" s="160"/>
      <c r="E174" s="160"/>
      <c r="F174" s="160"/>
      <c r="G174" s="160"/>
      <c r="H174" s="160"/>
      <c r="I174" s="161"/>
      <c r="J174" s="67"/>
    </row>
    <row r="175" spans="1:10">
      <c r="A175" s="2"/>
      <c r="B175" s="162"/>
      <c r="C175" s="163"/>
      <c r="D175" s="163"/>
      <c r="E175" s="163"/>
      <c r="F175" s="163"/>
      <c r="G175" s="163"/>
      <c r="H175" s="163"/>
      <c r="I175" s="164"/>
      <c r="J175" s="67"/>
    </row>
    <row r="176" spans="1:10">
      <c r="A176" s="2"/>
      <c r="B176" s="162"/>
      <c r="C176" s="163"/>
      <c r="D176" s="163"/>
      <c r="E176" s="163"/>
      <c r="F176" s="163"/>
      <c r="G176" s="163"/>
      <c r="H176" s="163"/>
      <c r="I176" s="164"/>
      <c r="J176" s="67"/>
    </row>
    <row r="177" spans="1:10">
      <c r="A177" s="2"/>
      <c r="B177" s="162"/>
      <c r="C177" s="163"/>
      <c r="D177" s="163"/>
      <c r="E177" s="163"/>
      <c r="F177" s="163"/>
      <c r="G177" s="163"/>
      <c r="H177" s="163"/>
      <c r="I177" s="164"/>
      <c r="J177" s="67"/>
    </row>
    <row r="178" spans="1:10">
      <c r="A178" s="2"/>
      <c r="B178" s="162"/>
      <c r="C178" s="163"/>
      <c r="D178" s="163"/>
      <c r="E178" s="163"/>
      <c r="F178" s="163"/>
      <c r="G178" s="163"/>
      <c r="H178" s="163"/>
      <c r="I178" s="164"/>
      <c r="J178" s="2"/>
    </row>
    <row r="179" spans="1:10">
      <c r="A179" s="2"/>
      <c r="B179" s="162"/>
      <c r="C179" s="163"/>
      <c r="D179" s="163"/>
      <c r="E179" s="163"/>
      <c r="F179" s="163"/>
      <c r="G179" s="163"/>
      <c r="H179" s="163"/>
      <c r="I179" s="164"/>
      <c r="J179" s="2"/>
    </row>
    <row r="180" spans="1:10">
      <c r="A180" s="2"/>
      <c r="B180" s="162"/>
      <c r="C180" s="163"/>
      <c r="D180" s="163"/>
      <c r="E180" s="163"/>
      <c r="F180" s="163"/>
      <c r="G180" s="163"/>
      <c r="H180" s="163"/>
      <c r="I180" s="164"/>
      <c r="J180" s="2"/>
    </row>
    <row r="181" spans="1:10">
      <c r="A181" s="2"/>
      <c r="B181" s="162"/>
      <c r="C181" s="163"/>
      <c r="D181" s="163"/>
      <c r="E181" s="163"/>
      <c r="F181" s="163"/>
      <c r="G181" s="163"/>
      <c r="H181" s="163"/>
      <c r="I181" s="164"/>
      <c r="J181" s="2"/>
    </row>
    <row r="182" spans="1:10" ht="13.5" thickBot="1">
      <c r="A182" s="2"/>
      <c r="B182" s="165"/>
      <c r="C182" s="166"/>
      <c r="D182" s="166"/>
      <c r="E182" s="166"/>
      <c r="F182" s="166"/>
      <c r="G182" s="166"/>
      <c r="H182" s="166"/>
      <c r="I182" s="167"/>
      <c r="J182" s="2"/>
    </row>
    <row r="183" spans="1:10">
      <c r="A183" s="2"/>
      <c r="B183" s="2"/>
      <c r="C183" s="2"/>
      <c r="D183" s="2"/>
      <c r="E183" s="2"/>
      <c r="F183" s="2"/>
      <c r="G183" s="2"/>
      <c r="H183" s="2"/>
      <c r="I183" s="10"/>
      <c r="J183" s="2"/>
    </row>
    <row r="184" spans="1:10">
      <c r="A184" s="2"/>
      <c r="B184" s="2"/>
      <c r="C184" s="2"/>
      <c r="D184" s="2"/>
      <c r="E184" s="2"/>
      <c r="F184" s="2"/>
      <c r="G184" s="2"/>
      <c r="H184" s="2"/>
      <c r="I184" s="10"/>
      <c r="J184" s="2"/>
    </row>
  </sheetData>
  <mergeCells count="7">
    <mergeCell ref="B174:I182"/>
    <mergeCell ref="D111:G111"/>
    <mergeCell ref="D112:G112"/>
    <mergeCell ref="D55:G55"/>
    <mergeCell ref="D56:G56"/>
    <mergeCell ref="D60:G60"/>
    <mergeCell ref="D61:G61"/>
  </mergeCells>
  <dataValidations count="4">
    <dataValidation type="decimal" errorStyle="warning" allowBlank="1" showInputMessage="1" showErrorMessage="1" error="You should only deduct marks in this section" sqref="B171 WUX983213 WLB983213 WBF983213 VRJ983213 VHN983213 UXR983213 UNV983213 UDZ983213 TUD983213 TKH983213 TAL983213 SQP983213 SGT983213 RWX983213 RNB983213 RDF983213 QTJ983213 QJN983213 PZR983213 PPV983213 PFZ983213 OWD983213 OMH983213 OCL983213 NSP983213 NIT983213 MYX983213 MPB983213 MFF983213 LVJ983213 LLN983213 LBR983213 KRV983213 KHZ983213 JYD983213 JOH983213 JEL983213 IUP983213 IKT983213 IAX983213 HRB983213 HHF983213 GXJ983213 GNN983213 GDR983213 FTV983213 FJZ983213 FAD983213 EQH983213 EGL983213 DWP983213 DMT983213 DCX983213 CTB983213 CJF983213 BZJ983213 BPN983213 BFR983213 AVV983213 ALZ983213 ACD983213 SH983213 IL983213 B983211 WUX917677 WLB917677 WBF917677 VRJ917677 VHN917677 UXR917677 UNV917677 UDZ917677 TUD917677 TKH917677 TAL917677 SQP917677 SGT917677 RWX917677 RNB917677 RDF917677 QTJ917677 QJN917677 PZR917677 PPV917677 PFZ917677 OWD917677 OMH917677 OCL917677 NSP917677 NIT917677 MYX917677 MPB917677 MFF917677 LVJ917677 LLN917677 LBR917677 KRV917677 KHZ917677 JYD917677 JOH917677 JEL917677 IUP917677 IKT917677 IAX917677 HRB917677 HHF917677 GXJ917677 GNN917677 GDR917677 FTV917677 FJZ917677 FAD917677 EQH917677 EGL917677 DWP917677 DMT917677 DCX917677 CTB917677 CJF917677 BZJ917677 BPN917677 BFR917677 AVV917677 ALZ917677 ACD917677 SH917677 IL917677 B917675 WUX852141 WLB852141 WBF852141 VRJ852141 VHN852141 UXR852141 UNV852141 UDZ852141 TUD852141 TKH852141 TAL852141 SQP852141 SGT852141 RWX852141 RNB852141 RDF852141 QTJ852141 QJN852141 PZR852141 PPV852141 PFZ852141 OWD852141 OMH852141 OCL852141 NSP852141 NIT852141 MYX852141 MPB852141 MFF852141 LVJ852141 LLN852141 LBR852141 KRV852141 KHZ852141 JYD852141 JOH852141 JEL852141 IUP852141 IKT852141 IAX852141 HRB852141 HHF852141 GXJ852141 GNN852141 GDR852141 FTV852141 FJZ852141 FAD852141 EQH852141 EGL852141 DWP852141 DMT852141 DCX852141 CTB852141 CJF852141 BZJ852141 BPN852141 BFR852141 AVV852141 ALZ852141 ACD852141 SH852141 IL852141 B852139 WUX786605 WLB786605 WBF786605 VRJ786605 VHN786605 UXR786605 UNV786605 UDZ786605 TUD786605 TKH786605 TAL786605 SQP786605 SGT786605 RWX786605 RNB786605 RDF786605 QTJ786605 QJN786605 PZR786605 PPV786605 PFZ786605 OWD786605 OMH786605 OCL786605 NSP786605 NIT786605 MYX786605 MPB786605 MFF786605 LVJ786605 LLN786605 LBR786605 KRV786605 KHZ786605 JYD786605 JOH786605 JEL786605 IUP786605 IKT786605 IAX786605 HRB786605 HHF786605 GXJ786605 GNN786605 GDR786605 FTV786605 FJZ786605 FAD786605 EQH786605 EGL786605 DWP786605 DMT786605 DCX786605 CTB786605 CJF786605 BZJ786605 BPN786605 BFR786605 AVV786605 ALZ786605 ACD786605 SH786605 IL786605 B786603 WUX721069 WLB721069 WBF721069 VRJ721069 VHN721069 UXR721069 UNV721069 UDZ721069 TUD721069 TKH721069 TAL721069 SQP721069 SGT721069 RWX721069 RNB721069 RDF721069 QTJ721069 QJN721069 PZR721069 PPV721069 PFZ721069 OWD721069 OMH721069 OCL721069 NSP721069 NIT721069 MYX721069 MPB721069 MFF721069 LVJ721069 LLN721069 LBR721069 KRV721069 KHZ721069 JYD721069 JOH721069 JEL721069 IUP721069 IKT721069 IAX721069 HRB721069 HHF721069 GXJ721069 GNN721069 GDR721069 FTV721069 FJZ721069 FAD721069 EQH721069 EGL721069 DWP721069 DMT721069 DCX721069 CTB721069 CJF721069 BZJ721069 BPN721069 BFR721069 AVV721069 ALZ721069 ACD721069 SH721069 IL721069 B721067 WUX655533 WLB655533 WBF655533 VRJ655533 VHN655533 UXR655533 UNV655533 UDZ655533 TUD655533 TKH655533 TAL655533 SQP655533 SGT655533 RWX655533 RNB655533 RDF655533 QTJ655533 QJN655533 PZR655533 PPV655533 PFZ655533 OWD655533 OMH655533 OCL655533 NSP655533 NIT655533 MYX655533 MPB655533 MFF655533 LVJ655533 LLN655533 LBR655533 KRV655533 KHZ655533 JYD655533 JOH655533 JEL655533 IUP655533 IKT655533 IAX655533 HRB655533 HHF655533 GXJ655533 GNN655533 GDR655533 FTV655533 FJZ655533 FAD655533 EQH655533 EGL655533 DWP655533 DMT655533 DCX655533 CTB655533 CJF655533 BZJ655533 BPN655533 BFR655533 AVV655533 ALZ655533 ACD655533 SH655533 IL655533 B655531 WUX589997 WLB589997 WBF589997 VRJ589997 VHN589997 UXR589997 UNV589997 UDZ589997 TUD589997 TKH589997 TAL589997 SQP589997 SGT589997 RWX589997 RNB589997 RDF589997 QTJ589997 QJN589997 PZR589997 PPV589997 PFZ589997 OWD589997 OMH589997 OCL589997 NSP589997 NIT589997 MYX589997 MPB589997 MFF589997 LVJ589997 LLN589997 LBR589997 KRV589997 KHZ589997 JYD589997 JOH589997 JEL589997 IUP589997 IKT589997 IAX589997 HRB589997 HHF589997 GXJ589997 GNN589997 GDR589997 FTV589997 FJZ589997 FAD589997 EQH589997 EGL589997 DWP589997 DMT589997 DCX589997 CTB589997 CJF589997 BZJ589997 BPN589997 BFR589997 AVV589997 ALZ589997 ACD589997 SH589997 IL589997 B589995 WUX524461 WLB524461 WBF524461 VRJ524461 VHN524461 UXR524461 UNV524461 UDZ524461 TUD524461 TKH524461 TAL524461 SQP524461 SGT524461 RWX524461 RNB524461 RDF524461 QTJ524461 QJN524461 PZR524461 PPV524461 PFZ524461 OWD524461 OMH524461 OCL524461 NSP524461 NIT524461 MYX524461 MPB524461 MFF524461 LVJ524461 LLN524461 LBR524461 KRV524461 KHZ524461 JYD524461 JOH524461 JEL524461 IUP524461 IKT524461 IAX524461 HRB524461 HHF524461 GXJ524461 GNN524461 GDR524461 FTV524461 FJZ524461 FAD524461 EQH524461 EGL524461 DWP524461 DMT524461 DCX524461 CTB524461 CJF524461 BZJ524461 BPN524461 BFR524461 AVV524461 ALZ524461 ACD524461 SH524461 IL524461 B524459 WUX458925 WLB458925 WBF458925 VRJ458925 VHN458925 UXR458925 UNV458925 UDZ458925 TUD458925 TKH458925 TAL458925 SQP458925 SGT458925 RWX458925 RNB458925 RDF458925 QTJ458925 QJN458925 PZR458925 PPV458925 PFZ458925 OWD458925 OMH458925 OCL458925 NSP458925 NIT458925 MYX458925 MPB458925 MFF458925 LVJ458925 LLN458925 LBR458925 KRV458925 KHZ458925 JYD458925 JOH458925 JEL458925 IUP458925 IKT458925 IAX458925 HRB458925 HHF458925 GXJ458925 GNN458925 GDR458925 FTV458925 FJZ458925 FAD458925 EQH458925 EGL458925 DWP458925 DMT458925 DCX458925 CTB458925 CJF458925 BZJ458925 BPN458925 BFR458925 AVV458925 ALZ458925 ACD458925 SH458925 IL458925 B458923 WUX393389 WLB393389 WBF393389 VRJ393389 VHN393389 UXR393389 UNV393389 UDZ393389 TUD393389 TKH393389 TAL393389 SQP393389 SGT393389 RWX393389 RNB393389 RDF393389 QTJ393389 QJN393389 PZR393389 PPV393389 PFZ393389 OWD393389 OMH393389 OCL393389 NSP393389 NIT393389 MYX393389 MPB393389 MFF393389 LVJ393389 LLN393389 LBR393389 KRV393389 KHZ393389 JYD393389 JOH393389 JEL393389 IUP393389 IKT393389 IAX393389 HRB393389 HHF393389 GXJ393389 GNN393389 GDR393389 FTV393389 FJZ393389 FAD393389 EQH393389 EGL393389 DWP393389 DMT393389 DCX393389 CTB393389 CJF393389 BZJ393389 BPN393389 BFR393389 AVV393389 ALZ393389 ACD393389 SH393389 IL393389 B393387 WUX327853 WLB327853 WBF327853 VRJ327853 VHN327853 UXR327853 UNV327853 UDZ327853 TUD327853 TKH327853 TAL327853 SQP327853 SGT327853 RWX327853 RNB327853 RDF327853 QTJ327853 QJN327853 PZR327853 PPV327853 PFZ327853 OWD327853 OMH327853 OCL327853 NSP327853 NIT327853 MYX327853 MPB327853 MFF327853 LVJ327853 LLN327853 LBR327853 KRV327853 KHZ327853 JYD327853 JOH327853 JEL327853 IUP327853 IKT327853 IAX327853 HRB327853 HHF327853 GXJ327853 GNN327853 GDR327853 FTV327853 FJZ327853 FAD327853 EQH327853 EGL327853 DWP327853 DMT327853 DCX327853 CTB327853 CJF327853 BZJ327853 BPN327853 BFR327853 AVV327853 ALZ327853 ACD327853 SH327853 IL327853 B327851 WUX262317 WLB262317 WBF262317 VRJ262317 VHN262317 UXR262317 UNV262317 UDZ262317 TUD262317 TKH262317 TAL262317 SQP262317 SGT262317 RWX262317 RNB262317 RDF262317 QTJ262317 QJN262317 PZR262317 PPV262317 PFZ262317 OWD262317 OMH262317 OCL262317 NSP262317 NIT262317 MYX262317 MPB262317 MFF262317 LVJ262317 LLN262317 LBR262317 KRV262317 KHZ262317 JYD262317 JOH262317 JEL262317 IUP262317 IKT262317 IAX262317 HRB262317 HHF262317 GXJ262317 GNN262317 GDR262317 FTV262317 FJZ262317 FAD262317 EQH262317 EGL262317 DWP262317 DMT262317 DCX262317 CTB262317 CJF262317 BZJ262317 BPN262317 BFR262317 AVV262317 ALZ262317 ACD262317 SH262317 IL262317 B262315 WUX196781 WLB196781 WBF196781 VRJ196781 VHN196781 UXR196781 UNV196781 UDZ196781 TUD196781 TKH196781 TAL196781 SQP196781 SGT196781 RWX196781 RNB196781 RDF196781 QTJ196781 QJN196781 PZR196781 PPV196781 PFZ196781 OWD196781 OMH196781 OCL196781 NSP196781 NIT196781 MYX196781 MPB196781 MFF196781 LVJ196781 LLN196781 LBR196781 KRV196781 KHZ196781 JYD196781 JOH196781 JEL196781 IUP196781 IKT196781 IAX196781 HRB196781 HHF196781 GXJ196781 GNN196781 GDR196781 FTV196781 FJZ196781 FAD196781 EQH196781 EGL196781 DWP196781 DMT196781 DCX196781 CTB196781 CJF196781 BZJ196781 BPN196781 BFR196781 AVV196781 ALZ196781 ACD196781 SH196781 IL196781 B196779 WUX131245 WLB131245 WBF131245 VRJ131245 VHN131245 UXR131245 UNV131245 UDZ131245 TUD131245 TKH131245 TAL131245 SQP131245 SGT131245 RWX131245 RNB131245 RDF131245 QTJ131245 QJN131245 PZR131245 PPV131245 PFZ131245 OWD131245 OMH131245 OCL131245 NSP131245 NIT131245 MYX131245 MPB131245 MFF131245 LVJ131245 LLN131245 LBR131245 KRV131245 KHZ131245 JYD131245 JOH131245 JEL131245 IUP131245 IKT131245 IAX131245 HRB131245 HHF131245 GXJ131245 GNN131245 GDR131245 FTV131245 FJZ131245 FAD131245 EQH131245 EGL131245 DWP131245 DMT131245 DCX131245 CTB131245 CJF131245 BZJ131245 BPN131245 BFR131245 AVV131245 ALZ131245 ACD131245 SH131245 IL131245 B131243 WUX65709 WLB65709 WBF65709 VRJ65709 VHN65709 UXR65709 UNV65709 UDZ65709 TUD65709 TKH65709 TAL65709 SQP65709 SGT65709 RWX65709 RNB65709 RDF65709 QTJ65709 QJN65709 PZR65709 PPV65709 PFZ65709 OWD65709 OMH65709 OCL65709 NSP65709 NIT65709 MYX65709 MPB65709 MFF65709 LVJ65709 LLN65709 LBR65709 KRV65709 KHZ65709 JYD65709 JOH65709 JEL65709 IUP65709 IKT65709 IAX65709 HRB65709 HHF65709 GXJ65709 GNN65709 GDR65709 FTV65709 FJZ65709 FAD65709 EQH65709 EGL65709 DWP65709 DMT65709 DCX65709 CTB65709 CJF65709 BZJ65709 BPN65709 BFR65709 AVV65709 ALZ65709 ACD65709 SH65709 IL65709 B65707 WUX173 WLB173 WBF173 VRJ173 VHN173 UXR173 UNV173 UDZ173 TUD173 TKH173 TAL173 SQP173 SGT173 RWX173 RNB173 RDF173 QTJ173 QJN173 PZR173 PPV173 PFZ173 OWD173 OMH173 OCL173 NSP173 NIT173 MYX173 MPB173 MFF173 LVJ173 LLN173 LBR173 KRV173 KHZ173 JYD173 JOH173 JEL173 IUP173 IKT173 IAX173 HRB173 HHF173 GXJ173 GNN173 GDR173 FTV173 FJZ173 FAD173 EQH173 EGL173 DWP173 DMT173 DCX173 CTB173 CJF173 BZJ173 BPN173 BFR173 AVV173 ALZ173 ACD173 SH173 IL173">
      <formula1>-2</formula1>
      <formula2>0</formula2>
    </dataValidation>
    <dataValidation type="decimal" errorStyle="warning" allowBlank="1" showInputMessage="1" showErrorMessage="1" errorTitle="Techniques Section" error="You should only deduct marks in this section" sqref="IL137:IL151 WUX983194:WUX983195 WLB983194:WLB983195 WBF983194:WBF983195 VRJ983194:VRJ983195 VHN983194:VHN983195 UXR983194:UXR983195 UNV983194:UNV983195 UDZ983194:UDZ983195 TUD983194:TUD983195 TKH983194:TKH983195 TAL983194:TAL983195 SQP983194:SQP983195 SGT983194:SGT983195 RWX983194:RWX983195 RNB983194:RNB983195 RDF983194:RDF983195 QTJ983194:QTJ983195 QJN983194:QJN983195 PZR983194:PZR983195 PPV983194:PPV983195 PFZ983194:PFZ983195 OWD983194:OWD983195 OMH983194:OMH983195 OCL983194:OCL983195 NSP983194:NSP983195 NIT983194:NIT983195 MYX983194:MYX983195 MPB983194:MPB983195 MFF983194:MFF983195 LVJ983194:LVJ983195 LLN983194:LLN983195 LBR983194:LBR983195 KRV983194:KRV983195 KHZ983194:KHZ983195 JYD983194:JYD983195 JOH983194:JOH983195 JEL983194:JEL983195 IUP983194:IUP983195 IKT983194:IKT983195 IAX983194:IAX983195 HRB983194:HRB983195 HHF983194:HHF983195 GXJ983194:GXJ983195 GNN983194:GNN983195 GDR983194:GDR983195 FTV983194:FTV983195 FJZ983194:FJZ983195 FAD983194:FAD983195 EQH983194:EQH983195 EGL983194:EGL983195 DWP983194:DWP983195 DMT983194:DMT983195 DCX983194:DCX983195 CTB983194:CTB983195 CJF983194:CJF983195 BZJ983194:BZJ983195 BPN983194:BPN983195 BFR983194:BFR983195 AVV983194:AVV983195 ALZ983194:ALZ983195 ACD983194:ACD983195 SH983194:SH983195 IL983194:IL983195 B983192:B983193 WUX917658:WUX917659 WLB917658:WLB917659 WBF917658:WBF917659 VRJ917658:VRJ917659 VHN917658:VHN917659 UXR917658:UXR917659 UNV917658:UNV917659 UDZ917658:UDZ917659 TUD917658:TUD917659 TKH917658:TKH917659 TAL917658:TAL917659 SQP917658:SQP917659 SGT917658:SGT917659 RWX917658:RWX917659 RNB917658:RNB917659 RDF917658:RDF917659 QTJ917658:QTJ917659 QJN917658:QJN917659 PZR917658:PZR917659 PPV917658:PPV917659 PFZ917658:PFZ917659 OWD917658:OWD917659 OMH917658:OMH917659 OCL917658:OCL917659 NSP917658:NSP917659 NIT917658:NIT917659 MYX917658:MYX917659 MPB917658:MPB917659 MFF917658:MFF917659 LVJ917658:LVJ917659 LLN917658:LLN917659 LBR917658:LBR917659 KRV917658:KRV917659 KHZ917658:KHZ917659 JYD917658:JYD917659 JOH917658:JOH917659 JEL917658:JEL917659 IUP917658:IUP917659 IKT917658:IKT917659 IAX917658:IAX917659 HRB917658:HRB917659 HHF917658:HHF917659 GXJ917658:GXJ917659 GNN917658:GNN917659 GDR917658:GDR917659 FTV917658:FTV917659 FJZ917658:FJZ917659 FAD917658:FAD917659 EQH917658:EQH917659 EGL917658:EGL917659 DWP917658:DWP917659 DMT917658:DMT917659 DCX917658:DCX917659 CTB917658:CTB917659 CJF917658:CJF917659 BZJ917658:BZJ917659 BPN917658:BPN917659 BFR917658:BFR917659 AVV917658:AVV917659 ALZ917658:ALZ917659 ACD917658:ACD917659 SH917658:SH917659 IL917658:IL917659 B917656:B917657 WUX852122:WUX852123 WLB852122:WLB852123 WBF852122:WBF852123 VRJ852122:VRJ852123 VHN852122:VHN852123 UXR852122:UXR852123 UNV852122:UNV852123 UDZ852122:UDZ852123 TUD852122:TUD852123 TKH852122:TKH852123 TAL852122:TAL852123 SQP852122:SQP852123 SGT852122:SGT852123 RWX852122:RWX852123 RNB852122:RNB852123 RDF852122:RDF852123 QTJ852122:QTJ852123 QJN852122:QJN852123 PZR852122:PZR852123 PPV852122:PPV852123 PFZ852122:PFZ852123 OWD852122:OWD852123 OMH852122:OMH852123 OCL852122:OCL852123 NSP852122:NSP852123 NIT852122:NIT852123 MYX852122:MYX852123 MPB852122:MPB852123 MFF852122:MFF852123 LVJ852122:LVJ852123 LLN852122:LLN852123 LBR852122:LBR852123 KRV852122:KRV852123 KHZ852122:KHZ852123 JYD852122:JYD852123 JOH852122:JOH852123 JEL852122:JEL852123 IUP852122:IUP852123 IKT852122:IKT852123 IAX852122:IAX852123 HRB852122:HRB852123 HHF852122:HHF852123 GXJ852122:GXJ852123 GNN852122:GNN852123 GDR852122:GDR852123 FTV852122:FTV852123 FJZ852122:FJZ852123 FAD852122:FAD852123 EQH852122:EQH852123 EGL852122:EGL852123 DWP852122:DWP852123 DMT852122:DMT852123 DCX852122:DCX852123 CTB852122:CTB852123 CJF852122:CJF852123 BZJ852122:BZJ852123 BPN852122:BPN852123 BFR852122:BFR852123 AVV852122:AVV852123 ALZ852122:ALZ852123 ACD852122:ACD852123 SH852122:SH852123 IL852122:IL852123 B852120:B852121 WUX786586:WUX786587 WLB786586:WLB786587 WBF786586:WBF786587 VRJ786586:VRJ786587 VHN786586:VHN786587 UXR786586:UXR786587 UNV786586:UNV786587 UDZ786586:UDZ786587 TUD786586:TUD786587 TKH786586:TKH786587 TAL786586:TAL786587 SQP786586:SQP786587 SGT786586:SGT786587 RWX786586:RWX786587 RNB786586:RNB786587 RDF786586:RDF786587 QTJ786586:QTJ786587 QJN786586:QJN786587 PZR786586:PZR786587 PPV786586:PPV786587 PFZ786586:PFZ786587 OWD786586:OWD786587 OMH786586:OMH786587 OCL786586:OCL786587 NSP786586:NSP786587 NIT786586:NIT786587 MYX786586:MYX786587 MPB786586:MPB786587 MFF786586:MFF786587 LVJ786586:LVJ786587 LLN786586:LLN786587 LBR786586:LBR786587 KRV786586:KRV786587 KHZ786586:KHZ786587 JYD786586:JYD786587 JOH786586:JOH786587 JEL786586:JEL786587 IUP786586:IUP786587 IKT786586:IKT786587 IAX786586:IAX786587 HRB786586:HRB786587 HHF786586:HHF786587 GXJ786586:GXJ786587 GNN786586:GNN786587 GDR786586:GDR786587 FTV786586:FTV786587 FJZ786586:FJZ786587 FAD786586:FAD786587 EQH786586:EQH786587 EGL786586:EGL786587 DWP786586:DWP786587 DMT786586:DMT786587 DCX786586:DCX786587 CTB786586:CTB786587 CJF786586:CJF786587 BZJ786586:BZJ786587 BPN786586:BPN786587 BFR786586:BFR786587 AVV786586:AVV786587 ALZ786586:ALZ786587 ACD786586:ACD786587 SH786586:SH786587 IL786586:IL786587 B786584:B786585 WUX721050:WUX721051 WLB721050:WLB721051 WBF721050:WBF721051 VRJ721050:VRJ721051 VHN721050:VHN721051 UXR721050:UXR721051 UNV721050:UNV721051 UDZ721050:UDZ721051 TUD721050:TUD721051 TKH721050:TKH721051 TAL721050:TAL721051 SQP721050:SQP721051 SGT721050:SGT721051 RWX721050:RWX721051 RNB721050:RNB721051 RDF721050:RDF721051 QTJ721050:QTJ721051 QJN721050:QJN721051 PZR721050:PZR721051 PPV721050:PPV721051 PFZ721050:PFZ721051 OWD721050:OWD721051 OMH721050:OMH721051 OCL721050:OCL721051 NSP721050:NSP721051 NIT721050:NIT721051 MYX721050:MYX721051 MPB721050:MPB721051 MFF721050:MFF721051 LVJ721050:LVJ721051 LLN721050:LLN721051 LBR721050:LBR721051 KRV721050:KRV721051 KHZ721050:KHZ721051 JYD721050:JYD721051 JOH721050:JOH721051 JEL721050:JEL721051 IUP721050:IUP721051 IKT721050:IKT721051 IAX721050:IAX721051 HRB721050:HRB721051 HHF721050:HHF721051 GXJ721050:GXJ721051 GNN721050:GNN721051 GDR721050:GDR721051 FTV721050:FTV721051 FJZ721050:FJZ721051 FAD721050:FAD721051 EQH721050:EQH721051 EGL721050:EGL721051 DWP721050:DWP721051 DMT721050:DMT721051 DCX721050:DCX721051 CTB721050:CTB721051 CJF721050:CJF721051 BZJ721050:BZJ721051 BPN721050:BPN721051 BFR721050:BFR721051 AVV721050:AVV721051 ALZ721050:ALZ721051 ACD721050:ACD721051 SH721050:SH721051 IL721050:IL721051 B721048:B721049 WUX655514:WUX655515 WLB655514:WLB655515 WBF655514:WBF655515 VRJ655514:VRJ655515 VHN655514:VHN655515 UXR655514:UXR655515 UNV655514:UNV655515 UDZ655514:UDZ655515 TUD655514:TUD655515 TKH655514:TKH655515 TAL655514:TAL655515 SQP655514:SQP655515 SGT655514:SGT655515 RWX655514:RWX655515 RNB655514:RNB655515 RDF655514:RDF655515 QTJ655514:QTJ655515 QJN655514:QJN655515 PZR655514:PZR655515 PPV655514:PPV655515 PFZ655514:PFZ655515 OWD655514:OWD655515 OMH655514:OMH655515 OCL655514:OCL655515 NSP655514:NSP655515 NIT655514:NIT655515 MYX655514:MYX655515 MPB655514:MPB655515 MFF655514:MFF655515 LVJ655514:LVJ655515 LLN655514:LLN655515 LBR655514:LBR655515 KRV655514:KRV655515 KHZ655514:KHZ655515 JYD655514:JYD655515 JOH655514:JOH655515 JEL655514:JEL655515 IUP655514:IUP655515 IKT655514:IKT655515 IAX655514:IAX655515 HRB655514:HRB655515 HHF655514:HHF655515 GXJ655514:GXJ655515 GNN655514:GNN655515 GDR655514:GDR655515 FTV655514:FTV655515 FJZ655514:FJZ655515 FAD655514:FAD655515 EQH655514:EQH655515 EGL655514:EGL655515 DWP655514:DWP655515 DMT655514:DMT655515 DCX655514:DCX655515 CTB655514:CTB655515 CJF655514:CJF655515 BZJ655514:BZJ655515 BPN655514:BPN655515 BFR655514:BFR655515 AVV655514:AVV655515 ALZ655514:ALZ655515 ACD655514:ACD655515 SH655514:SH655515 IL655514:IL655515 B655512:B655513 WUX589978:WUX589979 WLB589978:WLB589979 WBF589978:WBF589979 VRJ589978:VRJ589979 VHN589978:VHN589979 UXR589978:UXR589979 UNV589978:UNV589979 UDZ589978:UDZ589979 TUD589978:TUD589979 TKH589978:TKH589979 TAL589978:TAL589979 SQP589978:SQP589979 SGT589978:SGT589979 RWX589978:RWX589979 RNB589978:RNB589979 RDF589978:RDF589979 QTJ589978:QTJ589979 QJN589978:QJN589979 PZR589978:PZR589979 PPV589978:PPV589979 PFZ589978:PFZ589979 OWD589978:OWD589979 OMH589978:OMH589979 OCL589978:OCL589979 NSP589978:NSP589979 NIT589978:NIT589979 MYX589978:MYX589979 MPB589978:MPB589979 MFF589978:MFF589979 LVJ589978:LVJ589979 LLN589978:LLN589979 LBR589978:LBR589979 KRV589978:KRV589979 KHZ589978:KHZ589979 JYD589978:JYD589979 JOH589978:JOH589979 JEL589978:JEL589979 IUP589978:IUP589979 IKT589978:IKT589979 IAX589978:IAX589979 HRB589978:HRB589979 HHF589978:HHF589979 GXJ589978:GXJ589979 GNN589978:GNN589979 GDR589978:GDR589979 FTV589978:FTV589979 FJZ589978:FJZ589979 FAD589978:FAD589979 EQH589978:EQH589979 EGL589978:EGL589979 DWP589978:DWP589979 DMT589978:DMT589979 DCX589978:DCX589979 CTB589978:CTB589979 CJF589978:CJF589979 BZJ589978:BZJ589979 BPN589978:BPN589979 BFR589978:BFR589979 AVV589978:AVV589979 ALZ589978:ALZ589979 ACD589978:ACD589979 SH589978:SH589979 IL589978:IL589979 B589976:B589977 WUX524442:WUX524443 WLB524442:WLB524443 WBF524442:WBF524443 VRJ524442:VRJ524443 VHN524442:VHN524443 UXR524442:UXR524443 UNV524442:UNV524443 UDZ524442:UDZ524443 TUD524442:TUD524443 TKH524442:TKH524443 TAL524442:TAL524443 SQP524442:SQP524443 SGT524442:SGT524443 RWX524442:RWX524443 RNB524442:RNB524443 RDF524442:RDF524443 QTJ524442:QTJ524443 QJN524442:QJN524443 PZR524442:PZR524443 PPV524442:PPV524443 PFZ524442:PFZ524443 OWD524442:OWD524443 OMH524442:OMH524443 OCL524442:OCL524443 NSP524442:NSP524443 NIT524442:NIT524443 MYX524442:MYX524443 MPB524442:MPB524443 MFF524442:MFF524443 LVJ524442:LVJ524443 LLN524442:LLN524443 LBR524442:LBR524443 KRV524442:KRV524443 KHZ524442:KHZ524443 JYD524442:JYD524443 JOH524442:JOH524443 JEL524442:JEL524443 IUP524442:IUP524443 IKT524442:IKT524443 IAX524442:IAX524443 HRB524442:HRB524443 HHF524442:HHF524443 GXJ524442:GXJ524443 GNN524442:GNN524443 GDR524442:GDR524443 FTV524442:FTV524443 FJZ524442:FJZ524443 FAD524442:FAD524443 EQH524442:EQH524443 EGL524442:EGL524443 DWP524442:DWP524443 DMT524442:DMT524443 DCX524442:DCX524443 CTB524442:CTB524443 CJF524442:CJF524443 BZJ524442:BZJ524443 BPN524442:BPN524443 BFR524442:BFR524443 AVV524442:AVV524443 ALZ524442:ALZ524443 ACD524442:ACD524443 SH524442:SH524443 IL524442:IL524443 B524440:B524441 WUX458906:WUX458907 WLB458906:WLB458907 WBF458906:WBF458907 VRJ458906:VRJ458907 VHN458906:VHN458907 UXR458906:UXR458907 UNV458906:UNV458907 UDZ458906:UDZ458907 TUD458906:TUD458907 TKH458906:TKH458907 TAL458906:TAL458907 SQP458906:SQP458907 SGT458906:SGT458907 RWX458906:RWX458907 RNB458906:RNB458907 RDF458906:RDF458907 QTJ458906:QTJ458907 QJN458906:QJN458907 PZR458906:PZR458907 PPV458906:PPV458907 PFZ458906:PFZ458907 OWD458906:OWD458907 OMH458906:OMH458907 OCL458906:OCL458907 NSP458906:NSP458907 NIT458906:NIT458907 MYX458906:MYX458907 MPB458906:MPB458907 MFF458906:MFF458907 LVJ458906:LVJ458907 LLN458906:LLN458907 LBR458906:LBR458907 KRV458906:KRV458907 KHZ458906:KHZ458907 JYD458906:JYD458907 JOH458906:JOH458907 JEL458906:JEL458907 IUP458906:IUP458907 IKT458906:IKT458907 IAX458906:IAX458907 HRB458906:HRB458907 HHF458906:HHF458907 GXJ458906:GXJ458907 GNN458906:GNN458907 GDR458906:GDR458907 FTV458906:FTV458907 FJZ458906:FJZ458907 FAD458906:FAD458907 EQH458906:EQH458907 EGL458906:EGL458907 DWP458906:DWP458907 DMT458906:DMT458907 DCX458906:DCX458907 CTB458906:CTB458907 CJF458906:CJF458907 BZJ458906:BZJ458907 BPN458906:BPN458907 BFR458906:BFR458907 AVV458906:AVV458907 ALZ458906:ALZ458907 ACD458906:ACD458907 SH458906:SH458907 IL458906:IL458907 B458904:B458905 WUX393370:WUX393371 WLB393370:WLB393371 WBF393370:WBF393371 VRJ393370:VRJ393371 VHN393370:VHN393371 UXR393370:UXR393371 UNV393370:UNV393371 UDZ393370:UDZ393371 TUD393370:TUD393371 TKH393370:TKH393371 TAL393370:TAL393371 SQP393370:SQP393371 SGT393370:SGT393371 RWX393370:RWX393371 RNB393370:RNB393371 RDF393370:RDF393371 QTJ393370:QTJ393371 QJN393370:QJN393371 PZR393370:PZR393371 PPV393370:PPV393371 PFZ393370:PFZ393371 OWD393370:OWD393371 OMH393370:OMH393371 OCL393370:OCL393371 NSP393370:NSP393371 NIT393370:NIT393371 MYX393370:MYX393371 MPB393370:MPB393371 MFF393370:MFF393371 LVJ393370:LVJ393371 LLN393370:LLN393371 LBR393370:LBR393371 KRV393370:KRV393371 KHZ393370:KHZ393371 JYD393370:JYD393371 JOH393370:JOH393371 JEL393370:JEL393371 IUP393370:IUP393371 IKT393370:IKT393371 IAX393370:IAX393371 HRB393370:HRB393371 HHF393370:HHF393371 GXJ393370:GXJ393371 GNN393370:GNN393371 GDR393370:GDR393371 FTV393370:FTV393371 FJZ393370:FJZ393371 FAD393370:FAD393371 EQH393370:EQH393371 EGL393370:EGL393371 DWP393370:DWP393371 DMT393370:DMT393371 DCX393370:DCX393371 CTB393370:CTB393371 CJF393370:CJF393371 BZJ393370:BZJ393371 BPN393370:BPN393371 BFR393370:BFR393371 AVV393370:AVV393371 ALZ393370:ALZ393371 ACD393370:ACD393371 SH393370:SH393371 IL393370:IL393371 B393368:B393369 WUX327834:WUX327835 WLB327834:WLB327835 WBF327834:WBF327835 VRJ327834:VRJ327835 VHN327834:VHN327835 UXR327834:UXR327835 UNV327834:UNV327835 UDZ327834:UDZ327835 TUD327834:TUD327835 TKH327834:TKH327835 TAL327834:TAL327835 SQP327834:SQP327835 SGT327834:SGT327835 RWX327834:RWX327835 RNB327834:RNB327835 RDF327834:RDF327835 QTJ327834:QTJ327835 QJN327834:QJN327835 PZR327834:PZR327835 PPV327834:PPV327835 PFZ327834:PFZ327835 OWD327834:OWD327835 OMH327834:OMH327835 OCL327834:OCL327835 NSP327834:NSP327835 NIT327834:NIT327835 MYX327834:MYX327835 MPB327834:MPB327835 MFF327834:MFF327835 LVJ327834:LVJ327835 LLN327834:LLN327835 LBR327834:LBR327835 KRV327834:KRV327835 KHZ327834:KHZ327835 JYD327834:JYD327835 JOH327834:JOH327835 JEL327834:JEL327835 IUP327834:IUP327835 IKT327834:IKT327835 IAX327834:IAX327835 HRB327834:HRB327835 HHF327834:HHF327835 GXJ327834:GXJ327835 GNN327834:GNN327835 GDR327834:GDR327835 FTV327834:FTV327835 FJZ327834:FJZ327835 FAD327834:FAD327835 EQH327834:EQH327835 EGL327834:EGL327835 DWP327834:DWP327835 DMT327834:DMT327835 DCX327834:DCX327835 CTB327834:CTB327835 CJF327834:CJF327835 BZJ327834:BZJ327835 BPN327834:BPN327835 BFR327834:BFR327835 AVV327834:AVV327835 ALZ327834:ALZ327835 ACD327834:ACD327835 SH327834:SH327835 IL327834:IL327835 B327832:B327833 WUX262298:WUX262299 WLB262298:WLB262299 WBF262298:WBF262299 VRJ262298:VRJ262299 VHN262298:VHN262299 UXR262298:UXR262299 UNV262298:UNV262299 UDZ262298:UDZ262299 TUD262298:TUD262299 TKH262298:TKH262299 TAL262298:TAL262299 SQP262298:SQP262299 SGT262298:SGT262299 RWX262298:RWX262299 RNB262298:RNB262299 RDF262298:RDF262299 QTJ262298:QTJ262299 QJN262298:QJN262299 PZR262298:PZR262299 PPV262298:PPV262299 PFZ262298:PFZ262299 OWD262298:OWD262299 OMH262298:OMH262299 OCL262298:OCL262299 NSP262298:NSP262299 NIT262298:NIT262299 MYX262298:MYX262299 MPB262298:MPB262299 MFF262298:MFF262299 LVJ262298:LVJ262299 LLN262298:LLN262299 LBR262298:LBR262299 KRV262298:KRV262299 KHZ262298:KHZ262299 JYD262298:JYD262299 JOH262298:JOH262299 JEL262298:JEL262299 IUP262298:IUP262299 IKT262298:IKT262299 IAX262298:IAX262299 HRB262298:HRB262299 HHF262298:HHF262299 GXJ262298:GXJ262299 GNN262298:GNN262299 GDR262298:GDR262299 FTV262298:FTV262299 FJZ262298:FJZ262299 FAD262298:FAD262299 EQH262298:EQH262299 EGL262298:EGL262299 DWP262298:DWP262299 DMT262298:DMT262299 DCX262298:DCX262299 CTB262298:CTB262299 CJF262298:CJF262299 BZJ262298:BZJ262299 BPN262298:BPN262299 BFR262298:BFR262299 AVV262298:AVV262299 ALZ262298:ALZ262299 ACD262298:ACD262299 SH262298:SH262299 IL262298:IL262299 B262296:B262297 WUX196762:WUX196763 WLB196762:WLB196763 WBF196762:WBF196763 VRJ196762:VRJ196763 VHN196762:VHN196763 UXR196762:UXR196763 UNV196762:UNV196763 UDZ196762:UDZ196763 TUD196762:TUD196763 TKH196762:TKH196763 TAL196762:TAL196763 SQP196762:SQP196763 SGT196762:SGT196763 RWX196762:RWX196763 RNB196762:RNB196763 RDF196762:RDF196763 QTJ196762:QTJ196763 QJN196762:QJN196763 PZR196762:PZR196763 PPV196762:PPV196763 PFZ196762:PFZ196763 OWD196762:OWD196763 OMH196762:OMH196763 OCL196762:OCL196763 NSP196762:NSP196763 NIT196762:NIT196763 MYX196762:MYX196763 MPB196762:MPB196763 MFF196762:MFF196763 LVJ196762:LVJ196763 LLN196762:LLN196763 LBR196762:LBR196763 KRV196762:KRV196763 KHZ196762:KHZ196763 JYD196762:JYD196763 JOH196762:JOH196763 JEL196762:JEL196763 IUP196762:IUP196763 IKT196762:IKT196763 IAX196762:IAX196763 HRB196762:HRB196763 HHF196762:HHF196763 GXJ196762:GXJ196763 GNN196762:GNN196763 GDR196762:GDR196763 FTV196762:FTV196763 FJZ196762:FJZ196763 FAD196762:FAD196763 EQH196762:EQH196763 EGL196762:EGL196763 DWP196762:DWP196763 DMT196762:DMT196763 DCX196762:DCX196763 CTB196762:CTB196763 CJF196762:CJF196763 BZJ196762:BZJ196763 BPN196762:BPN196763 BFR196762:BFR196763 AVV196762:AVV196763 ALZ196762:ALZ196763 ACD196762:ACD196763 SH196762:SH196763 IL196762:IL196763 B196760:B196761 WUX131226:WUX131227 WLB131226:WLB131227 WBF131226:WBF131227 VRJ131226:VRJ131227 VHN131226:VHN131227 UXR131226:UXR131227 UNV131226:UNV131227 UDZ131226:UDZ131227 TUD131226:TUD131227 TKH131226:TKH131227 TAL131226:TAL131227 SQP131226:SQP131227 SGT131226:SGT131227 RWX131226:RWX131227 RNB131226:RNB131227 RDF131226:RDF131227 QTJ131226:QTJ131227 QJN131226:QJN131227 PZR131226:PZR131227 PPV131226:PPV131227 PFZ131226:PFZ131227 OWD131226:OWD131227 OMH131226:OMH131227 OCL131226:OCL131227 NSP131226:NSP131227 NIT131226:NIT131227 MYX131226:MYX131227 MPB131226:MPB131227 MFF131226:MFF131227 LVJ131226:LVJ131227 LLN131226:LLN131227 LBR131226:LBR131227 KRV131226:KRV131227 KHZ131226:KHZ131227 JYD131226:JYD131227 JOH131226:JOH131227 JEL131226:JEL131227 IUP131226:IUP131227 IKT131226:IKT131227 IAX131226:IAX131227 HRB131226:HRB131227 HHF131226:HHF131227 GXJ131226:GXJ131227 GNN131226:GNN131227 GDR131226:GDR131227 FTV131226:FTV131227 FJZ131226:FJZ131227 FAD131226:FAD131227 EQH131226:EQH131227 EGL131226:EGL131227 DWP131226:DWP131227 DMT131226:DMT131227 DCX131226:DCX131227 CTB131226:CTB131227 CJF131226:CJF131227 BZJ131226:BZJ131227 BPN131226:BPN131227 BFR131226:BFR131227 AVV131226:AVV131227 ALZ131226:ALZ131227 ACD131226:ACD131227 SH131226:SH131227 IL131226:IL131227 B131224:B131225 WUX65690:WUX65691 WLB65690:WLB65691 WBF65690:WBF65691 VRJ65690:VRJ65691 VHN65690:VHN65691 UXR65690:UXR65691 UNV65690:UNV65691 UDZ65690:UDZ65691 TUD65690:TUD65691 TKH65690:TKH65691 TAL65690:TAL65691 SQP65690:SQP65691 SGT65690:SGT65691 RWX65690:RWX65691 RNB65690:RNB65691 RDF65690:RDF65691 QTJ65690:QTJ65691 QJN65690:QJN65691 PZR65690:PZR65691 PPV65690:PPV65691 PFZ65690:PFZ65691 OWD65690:OWD65691 OMH65690:OMH65691 OCL65690:OCL65691 NSP65690:NSP65691 NIT65690:NIT65691 MYX65690:MYX65691 MPB65690:MPB65691 MFF65690:MFF65691 LVJ65690:LVJ65691 LLN65690:LLN65691 LBR65690:LBR65691 KRV65690:KRV65691 KHZ65690:KHZ65691 JYD65690:JYD65691 JOH65690:JOH65691 JEL65690:JEL65691 IUP65690:IUP65691 IKT65690:IKT65691 IAX65690:IAX65691 HRB65690:HRB65691 HHF65690:HHF65691 GXJ65690:GXJ65691 GNN65690:GNN65691 GDR65690:GDR65691 FTV65690:FTV65691 FJZ65690:FJZ65691 FAD65690:FAD65691 EQH65690:EQH65691 EGL65690:EGL65691 DWP65690:DWP65691 DMT65690:DMT65691 DCX65690:DCX65691 CTB65690:CTB65691 CJF65690:CJF65691 BZJ65690:BZJ65691 BPN65690:BPN65691 BFR65690:BFR65691 AVV65690:AVV65691 ALZ65690:ALZ65691 ACD65690:ACD65691 SH65690:SH65691 IL65690:IL65691 B65688:B65689 WUX137:WUX151 WLB137:WLB151 WBF137:WBF151 VRJ137:VRJ151 VHN137:VHN151 UXR137:UXR151 UNV137:UNV151 UDZ137:UDZ151 TUD137:TUD151 TKH137:TKH151 TAL137:TAL151 SQP137:SQP151 SGT137:SGT151 RWX137:RWX151 RNB137:RNB151 RDF137:RDF151 QTJ137:QTJ151 QJN137:QJN151 PZR137:PZR151 PPV137:PPV151 PFZ137:PFZ151 OWD137:OWD151 OMH137:OMH151 OCL137:OCL151 NSP137:NSP151 NIT137:NIT151 MYX137:MYX151 MPB137:MPB151 MFF137:MFF151 LVJ137:LVJ151 LLN137:LLN151 LBR137:LBR151 KRV137:KRV151 KHZ137:KHZ151 JYD137:JYD151 JOH137:JOH151 JEL137:JEL151 IUP137:IUP151 IKT137:IKT151 IAX137:IAX151 HRB137:HRB151 HHF137:HHF151 GXJ137:GXJ151 GNN137:GNN151 GDR137:GDR151 FTV137:FTV151 FJZ137:FJZ151 FAD137:FAD151 EQH137:EQH151 EGL137:EGL151 DWP137:DWP151 DMT137:DMT151 DCX137:DCX151 CTB137:CTB151 CJF137:CJF151 BZJ137:BZJ151 BPN137:BPN151 BFR137:BFR151 AVV137:AVV151 ALZ137:ALZ151 ACD137:ACD151 SH137:SH151 B138">
      <formula1>-1</formula1>
      <formula2>0</formula2>
    </dataValidation>
    <dataValidation type="whole" errorStyle="warning" allowBlank="1" showInputMessage="1" showErrorMessage="1" error="Must be either 0 or -1" sqref="B21:B23">
      <formula1>-1</formula1>
      <formula2>0</formula2>
    </dataValidation>
    <dataValidation type="whole" errorStyle="warning" operator="greaterThanOrEqual" allowBlank="1" showInputMessage="1" showErrorMessage="1" errorTitle="Techniques Section" error="You should only deduct marks in this section" sqref="B149">
      <formula1>0</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2</vt:i4>
      </vt:variant>
      <vt:variant>
        <vt:lpstr>Named Ranges</vt:lpstr>
      </vt:variant>
      <vt:variant>
        <vt:i4>10</vt:i4>
      </vt:variant>
    </vt:vector>
  </HeadingPairs>
  <TitlesOfParts>
    <vt:vector size="19" baseType="lpstr">
      <vt:lpstr>Raw Data</vt:lpstr>
      <vt:lpstr>Parameters</vt:lpstr>
      <vt:lpstr>Projection</vt:lpstr>
      <vt:lpstr>Projection statistics</vt:lpstr>
      <vt:lpstr>Checks</vt:lpstr>
      <vt:lpstr>Audit trail</vt:lpstr>
      <vt:lpstr>Marking Schedule</vt:lpstr>
      <vt:lpstr>Percentile projection chart</vt:lpstr>
      <vt:lpstr>Return distribution chart</vt:lpstr>
      <vt:lpstr>'Marking Schedule'!Audit</vt:lpstr>
      <vt:lpstr>'Marking Schedule'!AuditApproach</vt:lpstr>
      <vt:lpstr>DistributionRange</vt:lpstr>
      <vt:lpstr>'Marking Schedule'!IndepWork</vt:lpstr>
      <vt:lpstr>NumberSims</vt:lpstr>
      <vt:lpstr>ProjectionLengthYears</vt:lpstr>
      <vt:lpstr>ReturnData</vt:lpstr>
      <vt:lpstr>StartAssetValue</vt:lpstr>
      <vt:lpstr>'Marking Schedule'!SummaryDescrApproach</vt:lpstr>
      <vt:lpstr>'Marking Schedule'!SummaryDrafting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Richards</dc:creator>
  <cp:lastModifiedBy>Coralie2</cp:lastModifiedBy>
  <dcterms:created xsi:type="dcterms:W3CDTF">2015-06-26T07:42:01Z</dcterms:created>
  <dcterms:modified xsi:type="dcterms:W3CDTF">2017-03-15T12:14:28Z</dcterms:modified>
</cp:coreProperties>
</file>