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5" yWindow="60" windowWidth="12255" windowHeight="8685" tabRatio="747"/>
  </bookViews>
  <sheets>
    <sheet name="Audit trail" sheetId="8" r:id="rId1"/>
    <sheet name="parameters" sheetId="1" r:id="rId2"/>
    <sheet name="Base Scenario Fund Calcs" sheetId="2" r:id="rId3"/>
    <sheet name="Fund Calcs by Investment Return" sheetId="9" r:id="rId4"/>
    <sheet name="Fund Calcs by Cont Start Age" sheetId="10" r:id="rId5"/>
    <sheet name="Summary and charts" sheetId="3" r:id="rId6"/>
    <sheet name="Checks" sheetId="11" r:id="rId7"/>
  </sheets>
  <externalReferences>
    <externalReference r:id="rId8"/>
    <externalReference r:id="rId9"/>
  </externalReferences>
  <definedNames>
    <definedName name="CA_Accrual">[1]Parameters!$D$9</definedName>
    <definedName name="ContRate">parameters!$D$11</definedName>
    <definedName name="ContStartAge">parameters!$D$7</definedName>
    <definedName name="ContStartAgew">parameters!$D$7</definedName>
    <definedName name="CurrentAge">parameters!$D$5</definedName>
    <definedName name="FS_Accrual">[1]Parameters!$D$8</definedName>
    <definedName name="Inflation">[1]Parameters!$D$11</definedName>
    <definedName name="InvRet">parameters!$D$17</definedName>
    <definedName name="PriceInf">parameters!$D$19</definedName>
    <definedName name="RetirementAge">parameters!$D$9</definedName>
    <definedName name="Sal_1">[1]Parameters!$D$4</definedName>
    <definedName name="SalInc">parameters!$D$15</definedName>
    <definedName name="StartSal">parameters!$D$13</definedName>
    <definedName name="ThisFileName">[2]Marks!$A$54</definedName>
  </definedNames>
  <calcPr calcId="125725"/>
</workbook>
</file>

<file path=xl/calcChain.xml><?xml version="1.0" encoding="utf-8"?>
<calcChain xmlns="http://schemas.openxmlformats.org/spreadsheetml/2006/main">
  <c r="F33" i="11"/>
  <c r="Q33"/>
  <c r="P13" i="10"/>
  <c r="F13"/>
  <c r="F13" i="9"/>
  <c r="F8" i="2"/>
  <c r="Q40" i="11"/>
  <c r="F40"/>
  <c r="P15" i="10"/>
  <c r="F15"/>
  <c r="P15" i="9"/>
  <c r="F15"/>
  <c r="V16" l="1"/>
  <c r="V16" i="10"/>
  <c r="Q32" i="11"/>
  <c r="F32"/>
  <c r="G32" s="1"/>
  <c r="Q38"/>
  <c r="R38" s="1"/>
  <c r="Q37"/>
  <c r="R37" s="1"/>
  <c r="Q36"/>
  <c r="R36" s="1"/>
  <c r="Q35"/>
  <c r="O48" s="1"/>
  <c r="R32"/>
  <c r="Q31"/>
  <c r="Q39" s="1"/>
  <c r="F38"/>
  <c r="G38" s="1"/>
  <c r="F37"/>
  <c r="G37" s="1"/>
  <c r="F36"/>
  <c r="G36" s="1"/>
  <c r="F35"/>
  <c r="D48" s="1"/>
  <c r="F31"/>
  <c r="C48" s="1"/>
  <c r="F8" i="9"/>
  <c r="F6"/>
  <c r="G6" s="1"/>
  <c r="G6" i="11" s="1"/>
  <c r="B24" i="3"/>
  <c r="B23"/>
  <c r="Q13" i="10"/>
  <c r="J13" i="11" s="1"/>
  <c r="Q7" i="10"/>
  <c r="J7" i="11" s="1"/>
  <c r="G13" i="10"/>
  <c r="I13" i="11" s="1"/>
  <c r="G7" i="10"/>
  <c r="I7" i="11" s="1"/>
  <c r="M31" i="10"/>
  <c r="M32" s="1"/>
  <c r="C31"/>
  <c r="C32" s="1"/>
  <c r="O30"/>
  <c r="E30"/>
  <c r="P12"/>
  <c r="Q12" s="1"/>
  <c r="J12" i="11" s="1"/>
  <c r="F12" i="10"/>
  <c r="G12" s="1"/>
  <c r="I12" i="11" s="1"/>
  <c r="P11" i="10"/>
  <c r="Q11" s="1"/>
  <c r="J11" i="11" s="1"/>
  <c r="F11" i="10"/>
  <c r="G11" s="1"/>
  <c r="I11" i="11" s="1"/>
  <c r="P10" i="10"/>
  <c r="Q10" s="1"/>
  <c r="J10" i="11" s="1"/>
  <c r="F10" i="10"/>
  <c r="P9"/>
  <c r="Q9" s="1"/>
  <c r="J9" i="11" s="1"/>
  <c r="F9" i="10"/>
  <c r="G9" s="1"/>
  <c r="I9" i="11" s="1"/>
  <c r="P8" i="10"/>
  <c r="F8"/>
  <c r="P6"/>
  <c r="Q6" s="1"/>
  <c r="J6" i="11" s="1"/>
  <c r="F6" i="10"/>
  <c r="G6" s="1"/>
  <c r="I6" i="11" s="1"/>
  <c r="Q13" i="9"/>
  <c r="H13" i="11" s="1"/>
  <c r="Q12" i="9"/>
  <c r="H12" i="11" s="1"/>
  <c r="G13" i="9"/>
  <c r="G13" i="11" s="1"/>
  <c r="G12" i="9"/>
  <c r="G12" i="11" s="1"/>
  <c r="F6" i="2"/>
  <c r="P11" i="9"/>
  <c r="Q11" s="1"/>
  <c r="H11" i="11" s="1"/>
  <c r="F11" i="9"/>
  <c r="G11" s="1"/>
  <c r="G11" i="11" s="1"/>
  <c r="P10" i="9"/>
  <c r="N23" s="1"/>
  <c r="F10"/>
  <c r="D23" s="1"/>
  <c r="D24" s="1"/>
  <c r="D25" s="1"/>
  <c r="D26" s="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P9"/>
  <c r="Q9" s="1"/>
  <c r="H9" i="11" s="1"/>
  <c r="F9" i="9"/>
  <c r="G9" s="1"/>
  <c r="G9" i="11" s="1"/>
  <c r="P8" i="9"/>
  <c r="P7"/>
  <c r="Q7" s="1"/>
  <c r="H7" i="11" s="1"/>
  <c r="F7" i="9"/>
  <c r="G7" s="1"/>
  <c r="G7" i="11" s="1"/>
  <c r="P6" i="9"/>
  <c r="Q6" s="1"/>
  <c r="H6" i="11" s="1"/>
  <c r="F15" i="2"/>
  <c r="F7"/>
  <c r="G7" s="1"/>
  <c r="F7" i="11" s="1"/>
  <c r="N24" i="9" l="1"/>
  <c r="N25" s="1"/>
  <c r="N26" s="1"/>
  <c r="N27" s="1"/>
  <c r="N28" s="1"/>
  <c r="N29" s="1"/>
  <c r="N30" s="1"/>
  <c r="N31" s="1"/>
  <c r="N32" s="1"/>
  <c r="N33" s="1"/>
  <c r="N34" s="1"/>
  <c r="N35" s="1"/>
  <c r="N36" s="1"/>
  <c r="N37" s="1"/>
  <c r="N38" s="1"/>
  <c r="N39" s="1"/>
  <c r="N40" s="1"/>
  <c r="N41" s="1"/>
  <c r="N42" s="1"/>
  <c r="N43" s="1"/>
  <c r="N44" s="1"/>
  <c r="N45" s="1"/>
  <c r="N46" s="1"/>
  <c r="N47" s="1"/>
  <c r="N48" s="1"/>
  <c r="N49" s="1"/>
  <c r="N50" s="1"/>
  <c r="N51" s="1"/>
  <c r="N52" s="1"/>
  <c r="N53" s="1"/>
  <c r="N54" s="1"/>
  <c r="N55" s="1"/>
  <c r="N56" s="1"/>
  <c r="N57" s="1"/>
  <c r="N58" s="1"/>
  <c r="N59" s="1"/>
  <c r="N60" s="1"/>
  <c r="N61" s="1"/>
  <c r="N62" s="1"/>
  <c r="P30" i="10"/>
  <c r="R30" s="1"/>
  <c r="Q31" s="1"/>
  <c r="M23" i="9"/>
  <c r="C23"/>
  <c r="F30" i="10"/>
  <c r="H30" s="1"/>
  <c r="G31" s="1"/>
  <c r="E31"/>
  <c r="F31" s="1"/>
  <c r="E48" i="11"/>
  <c r="D30" i="10"/>
  <c r="D31" s="1"/>
  <c r="N48" i="11"/>
  <c r="O49"/>
  <c r="R31"/>
  <c r="R35"/>
  <c r="C49"/>
  <c r="D49"/>
  <c r="G35"/>
  <c r="G31"/>
  <c r="F39"/>
  <c r="G10" i="9"/>
  <c r="G10" i="11" s="1"/>
  <c r="B22" i="3"/>
  <c r="Q10" i="9"/>
  <c r="H10" i="11" s="1"/>
  <c r="N30" i="10"/>
  <c r="G10"/>
  <c r="I10" i="11" s="1"/>
  <c r="C33" i="10"/>
  <c r="E32"/>
  <c r="F32" s="1"/>
  <c r="F14"/>
  <c r="M33"/>
  <c r="O32"/>
  <c r="P32" s="1"/>
  <c r="P14"/>
  <c r="O31"/>
  <c r="P31" s="1"/>
  <c r="G6" i="2"/>
  <c r="F6" i="11" s="1"/>
  <c r="V24" i="9"/>
  <c r="X24"/>
  <c r="P14"/>
  <c r="F14"/>
  <c r="C23" i="2"/>
  <c r="F14"/>
  <c r="F10"/>
  <c r="F11"/>
  <c r="F13"/>
  <c r="G13" s="1"/>
  <c r="F13" i="11" s="1"/>
  <c r="F12" i="2"/>
  <c r="G12" s="1"/>
  <c r="F12" i="11" s="1"/>
  <c r="B6" i="3"/>
  <c r="B4"/>
  <c r="F9" i="2"/>
  <c r="C22" i="3" s="1"/>
  <c r="E23" i="9" l="1"/>
  <c r="F23" s="1"/>
  <c r="H23" s="1"/>
  <c r="G24" s="1"/>
  <c r="W24" s="1"/>
  <c r="C24"/>
  <c r="H31" i="10"/>
  <c r="G32" s="1"/>
  <c r="H32" s="1"/>
  <c r="G33" s="1"/>
  <c r="R31"/>
  <c r="Q32" s="1"/>
  <c r="R32" s="1"/>
  <c r="Q33" s="1"/>
  <c r="M24" i="9"/>
  <c r="O23"/>
  <c r="F48" i="11"/>
  <c r="H48" s="1"/>
  <c r="G49" s="1"/>
  <c r="G11" i="2"/>
  <c r="F11" i="11" s="1"/>
  <c r="Y31" i="10"/>
  <c r="D32"/>
  <c r="V31"/>
  <c r="W31"/>
  <c r="N31"/>
  <c r="X31" s="1"/>
  <c r="C24" i="2"/>
  <c r="C50" i="11"/>
  <c r="E49"/>
  <c r="N49"/>
  <c r="P48"/>
  <c r="O50"/>
  <c r="D50"/>
  <c r="C34" i="10"/>
  <c r="E33"/>
  <c r="F33" s="1"/>
  <c r="M34"/>
  <c r="O33"/>
  <c r="P33" s="1"/>
  <c r="G9" i="2"/>
  <c r="F9" i="11" s="1"/>
  <c r="B5" i="3"/>
  <c r="D23" i="2"/>
  <c r="E23" s="1"/>
  <c r="F23" s="1"/>
  <c r="H23" s="1"/>
  <c r="G24" s="1"/>
  <c r="G10"/>
  <c r="F10" i="11" s="1"/>
  <c r="X25" i="9"/>
  <c r="W32" i="10" l="1"/>
  <c r="R33"/>
  <c r="Q34" s="1"/>
  <c r="P23" i="9"/>
  <c r="R23" s="1"/>
  <c r="Q24" s="1"/>
  <c r="Y24" s="1"/>
  <c r="O24"/>
  <c r="P24" s="1"/>
  <c r="M25"/>
  <c r="E24"/>
  <c r="F24" s="1"/>
  <c r="H24" s="1"/>
  <c r="G25" s="1"/>
  <c r="W25" s="1"/>
  <c r="C25"/>
  <c r="H33" i="10"/>
  <c r="G34" s="1"/>
  <c r="Q48" i="11"/>
  <c r="S48" s="1"/>
  <c r="R49" s="1"/>
  <c r="F49"/>
  <c r="H49" s="1"/>
  <c r="G50" s="1"/>
  <c r="W33" i="10"/>
  <c r="Y32"/>
  <c r="D24" i="2"/>
  <c r="E24" s="1"/>
  <c r="F24" s="1"/>
  <c r="H24" s="1"/>
  <c r="G25" s="1"/>
  <c r="D33" i="10"/>
  <c r="V32"/>
  <c r="N32"/>
  <c r="X32" s="1"/>
  <c r="V25" i="9"/>
  <c r="C25" i="2"/>
  <c r="P49" i="11"/>
  <c r="N50"/>
  <c r="C51"/>
  <c r="E50"/>
  <c r="O51"/>
  <c r="D51"/>
  <c r="M35" i="10"/>
  <c r="O34"/>
  <c r="P34" s="1"/>
  <c r="R34" s="1"/>
  <c r="Q35" s="1"/>
  <c r="C35"/>
  <c r="E34"/>
  <c r="X26" i="9"/>
  <c r="R24" l="1"/>
  <c r="Q25" s="1"/>
  <c r="Y25" s="1"/>
  <c r="W34" i="10"/>
  <c r="F34"/>
  <c r="H34" s="1"/>
  <c r="G35" s="1"/>
  <c r="E25" i="9"/>
  <c r="F25" s="1"/>
  <c r="H25" s="1"/>
  <c r="G26" s="1"/>
  <c r="C26"/>
  <c r="O25"/>
  <c r="M26"/>
  <c r="Q49" i="11"/>
  <c r="S49" s="1"/>
  <c r="R50" s="1"/>
  <c r="F50"/>
  <c r="H50" s="1"/>
  <c r="G51" s="1"/>
  <c r="Y33" i="10"/>
  <c r="D34"/>
  <c r="V33"/>
  <c r="D25" i="2"/>
  <c r="E25" s="1"/>
  <c r="F25" s="1"/>
  <c r="H25" s="1"/>
  <c r="G26" s="1"/>
  <c r="M24"/>
  <c r="N33" i="10"/>
  <c r="X33" s="1"/>
  <c r="V26" i="9"/>
  <c r="C26" i="2"/>
  <c r="N24"/>
  <c r="N51" i="11"/>
  <c r="P50"/>
  <c r="C52"/>
  <c r="E51"/>
  <c r="O52"/>
  <c r="D52"/>
  <c r="C36" i="10"/>
  <c r="E35"/>
  <c r="M36"/>
  <c r="O35"/>
  <c r="P35" s="1"/>
  <c r="R35" s="1"/>
  <c r="Q36" s="1"/>
  <c r="X27" i="9"/>
  <c r="W26" l="1"/>
  <c r="W35" i="10"/>
  <c r="F35"/>
  <c r="H35" s="1"/>
  <c r="G36" s="1"/>
  <c r="P25" i="9"/>
  <c r="R25" s="1"/>
  <c r="Q26" s="1"/>
  <c r="Y26" s="1"/>
  <c r="M27"/>
  <c r="O26"/>
  <c r="E26"/>
  <c r="F26" s="1"/>
  <c r="H26" s="1"/>
  <c r="G27" s="1"/>
  <c r="C27"/>
  <c r="F51" i="11"/>
  <c r="H51" s="1"/>
  <c r="G52" s="1"/>
  <c r="Q50"/>
  <c r="S50" s="1"/>
  <c r="R51" s="1"/>
  <c r="Y34" i="10"/>
  <c r="M25" i="2"/>
  <c r="D26"/>
  <c r="E26" s="1"/>
  <c r="F26" s="1"/>
  <c r="H26" s="1"/>
  <c r="G27" s="1"/>
  <c r="D35" i="10"/>
  <c r="V34"/>
  <c r="N34"/>
  <c r="X34" s="1"/>
  <c r="V27" i="9"/>
  <c r="N25" i="2"/>
  <c r="C27"/>
  <c r="C53" i="11"/>
  <c r="E52"/>
  <c r="N52"/>
  <c r="P51"/>
  <c r="O53"/>
  <c r="D53"/>
  <c r="C37" i="10"/>
  <c r="E36"/>
  <c r="M37"/>
  <c r="O36"/>
  <c r="P36" s="1"/>
  <c r="R36" s="1"/>
  <c r="Q37" s="1"/>
  <c r="X28" i="9"/>
  <c r="W27" l="1"/>
  <c r="W36" i="10"/>
  <c r="F36"/>
  <c r="H36" s="1"/>
  <c r="G37" s="1"/>
  <c r="O27" i="9"/>
  <c r="M28"/>
  <c r="E27"/>
  <c r="F27" s="1"/>
  <c r="H27" s="1"/>
  <c r="G28" s="1"/>
  <c r="C28"/>
  <c r="P26"/>
  <c r="R26" s="1"/>
  <c r="Q27" s="1"/>
  <c r="Y27" s="1"/>
  <c r="Q51" i="11"/>
  <c r="S51" s="1"/>
  <c r="R52" s="1"/>
  <c r="F52"/>
  <c r="H52" s="1"/>
  <c r="G53" s="1"/>
  <c r="Y35" i="10"/>
  <c r="Y36"/>
  <c r="D27" i="2"/>
  <c r="E27" s="1"/>
  <c r="F27" s="1"/>
  <c r="H27" s="1"/>
  <c r="G28" s="1"/>
  <c r="M26"/>
  <c r="D36" i="10"/>
  <c r="V35"/>
  <c r="N35"/>
  <c r="X35" s="1"/>
  <c r="V28" i="9"/>
  <c r="N26" i="2"/>
  <c r="C28"/>
  <c r="N53" i="11"/>
  <c r="P52"/>
  <c r="C54"/>
  <c r="E53"/>
  <c r="O54"/>
  <c r="D54"/>
  <c r="M38" i="10"/>
  <c r="O37"/>
  <c r="P37" s="1"/>
  <c r="R37" s="1"/>
  <c r="Q38" s="1"/>
  <c r="C38"/>
  <c r="E37"/>
  <c r="X29" i="9"/>
  <c r="W28" l="1"/>
  <c r="P27"/>
  <c r="R27" s="1"/>
  <c r="Q28" s="1"/>
  <c r="Y28" s="1"/>
  <c r="W37" i="10"/>
  <c r="F37"/>
  <c r="H37" s="1"/>
  <c r="G38" s="1"/>
  <c r="E28" i="9"/>
  <c r="F28" s="1"/>
  <c r="H28" s="1"/>
  <c r="G29" s="1"/>
  <c r="W29" s="1"/>
  <c r="C29"/>
  <c r="M29"/>
  <c r="O28"/>
  <c r="F53" i="11"/>
  <c r="H53" s="1"/>
  <c r="G54" s="1"/>
  <c r="Q52"/>
  <c r="S52" s="1"/>
  <c r="R53" s="1"/>
  <c r="Y37" i="10"/>
  <c r="D37"/>
  <c r="V36"/>
  <c r="M27" i="2"/>
  <c r="D28"/>
  <c r="E28" s="1"/>
  <c r="F28" s="1"/>
  <c r="H28" s="1"/>
  <c r="G29" s="1"/>
  <c r="N36" i="10"/>
  <c r="X36" s="1"/>
  <c r="V29" i="9"/>
  <c r="N27" i="2"/>
  <c r="C29"/>
  <c r="C55" i="11"/>
  <c r="E54"/>
  <c r="N54"/>
  <c r="P53"/>
  <c r="O55"/>
  <c r="D55"/>
  <c r="C39" i="10"/>
  <c r="E38"/>
  <c r="M39"/>
  <c r="O38"/>
  <c r="P38" s="1"/>
  <c r="R38" s="1"/>
  <c r="Q39" s="1"/>
  <c r="X30" i="9"/>
  <c r="W38" i="10" l="1"/>
  <c r="F38"/>
  <c r="P28" i="9"/>
  <c r="R28" s="1"/>
  <c r="Q29" s="1"/>
  <c r="Y29" s="1"/>
  <c r="E29"/>
  <c r="F29" s="1"/>
  <c r="H29" s="1"/>
  <c r="G30" s="1"/>
  <c r="C30"/>
  <c r="M30"/>
  <c r="O29"/>
  <c r="H38" i="10"/>
  <c r="G39" s="1"/>
  <c r="Q53" i="11"/>
  <c r="S53" s="1"/>
  <c r="R54" s="1"/>
  <c r="F54"/>
  <c r="H54" s="1"/>
  <c r="G55" s="1"/>
  <c r="Y38" i="10"/>
  <c r="M28" i="2"/>
  <c r="D29"/>
  <c r="D38" i="10"/>
  <c r="V37"/>
  <c r="N37"/>
  <c r="X37" s="1"/>
  <c r="V30" i="9"/>
  <c r="C30" i="2"/>
  <c r="N28"/>
  <c r="N55" i="11"/>
  <c r="P54"/>
  <c r="C56"/>
  <c r="E55"/>
  <c r="O56"/>
  <c r="D56"/>
  <c r="M40" i="10"/>
  <c r="O39"/>
  <c r="C40"/>
  <c r="E39"/>
  <c r="X31" i="9"/>
  <c r="W30" l="1"/>
  <c r="W39" i="10"/>
  <c r="F39"/>
  <c r="H39" s="1"/>
  <c r="G40" s="1"/>
  <c r="Y39"/>
  <c r="P39"/>
  <c r="R39" s="1"/>
  <c r="Q40" s="1"/>
  <c r="M31" i="9"/>
  <c r="O30"/>
  <c r="P29"/>
  <c r="R29" s="1"/>
  <c r="Q30" s="1"/>
  <c r="Y30" s="1"/>
  <c r="E30"/>
  <c r="F30" s="1"/>
  <c r="H30" s="1"/>
  <c r="G31" s="1"/>
  <c r="C31"/>
  <c r="F55" i="11"/>
  <c r="H55" s="1"/>
  <c r="G56" s="1"/>
  <c r="Q54"/>
  <c r="S54" s="1"/>
  <c r="R55" s="1"/>
  <c r="M29" i="2"/>
  <c r="D30"/>
  <c r="E29"/>
  <c r="F29" s="1"/>
  <c r="H29" s="1"/>
  <c r="G30" s="1"/>
  <c r="D39" i="10"/>
  <c r="V38"/>
  <c r="N38"/>
  <c r="X38" s="1"/>
  <c r="V31" i="9"/>
  <c r="C31" i="2"/>
  <c r="C57" i="11"/>
  <c r="E56"/>
  <c r="N56"/>
  <c r="P55"/>
  <c r="O57"/>
  <c r="D57"/>
  <c r="C41" i="10"/>
  <c r="M41"/>
  <c r="O40"/>
  <c r="X32" i="9"/>
  <c r="W31" l="1"/>
  <c r="Y40" i="10"/>
  <c r="P40"/>
  <c r="R40" s="1"/>
  <c r="Q41" s="1"/>
  <c r="E31" i="9"/>
  <c r="F31" s="1"/>
  <c r="H31" s="1"/>
  <c r="G32" s="1"/>
  <c r="C32"/>
  <c r="P30"/>
  <c r="R30" s="1"/>
  <c r="Q31" s="1"/>
  <c r="Y31" s="1"/>
  <c r="O31"/>
  <c r="M32"/>
  <c r="Q55" i="11"/>
  <c r="S55" s="1"/>
  <c r="R56" s="1"/>
  <c r="F56"/>
  <c r="H56" s="1"/>
  <c r="G57" s="1"/>
  <c r="N29" i="2"/>
  <c r="D40" i="10"/>
  <c r="V39"/>
  <c r="M30" i="2"/>
  <c r="D31"/>
  <c r="E31" s="1"/>
  <c r="F31" s="1"/>
  <c r="E30"/>
  <c r="F30" s="1"/>
  <c r="H30" s="1"/>
  <c r="G31" s="1"/>
  <c r="N39" i="10"/>
  <c r="X39" s="1"/>
  <c r="V32" i="9"/>
  <c r="C32" i="2"/>
  <c r="N57" i="11"/>
  <c r="P56"/>
  <c r="C58"/>
  <c r="E57"/>
  <c r="O58"/>
  <c r="D58"/>
  <c r="M42" i="10"/>
  <c r="O41"/>
  <c r="C42"/>
  <c r="X33" i="9"/>
  <c r="H31" i="2" l="1"/>
  <c r="G32" s="1"/>
  <c r="W32" i="9"/>
  <c r="P31"/>
  <c r="R31" s="1"/>
  <c r="Q32" s="1"/>
  <c r="Y32" s="1"/>
  <c r="Y41" i="10"/>
  <c r="P41"/>
  <c r="R41" s="1"/>
  <c r="Q42" s="1"/>
  <c r="O32" i="9"/>
  <c r="M33"/>
  <c r="E32"/>
  <c r="F32" s="1"/>
  <c r="H32" s="1"/>
  <c r="G33" s="1"/>
  <c r="C33"/>
  <c r="F57" i="11"/>
  <c r="H57" s="1"/>
  <c r="G58" s="1"/>
  <c r="Q56"/>
  <c r="S56" s="1"/>
  <c r="R57" s="1"/>
  <c r="M31" i="2"/>
  <c r="D32"/>
  <c r="E32" s="1"/>
  <c r="F32" s="1"/>
  <c r="N30"/>
  <c r="D41" i="10"/>
  <c r="V40"/>
  <c r="E40"/>
  <c r="N40"/>
  <c r="X40" s="1"/>
  <c r="V33" i="9"/>
  <c r="C33" i="2"/>
  <c r="C59" i="11"/>
  <c r="N58"/>
  <c r="P57"/>
  <c r="O59"/>
  <c r="D59"/>
  <c r="C43" i="10"/>
  <c r="M43"/>
  <c r="O42"/>
  <c r="X34" i="9"/>
  <c r="N31" i="2" l="1"/>
  <c r="H32"/>
  <c r="G33" s="1"/>
  <c r="W33" i="9"/>
  <c r="P32"/>
  <c r="R32" s="1"/>
  <c r="Q33" s="1"/>
  <c r="Y33" s="1"/>
  <c r="Y42" i="10"/>
  <c r="P42"/>
  <c r="R42" s="1"/>
  <c r="Q43" s="1"/>
  <c r="W40"/>
  <c r="F40"/>
  <c r="H40" s="1"/>
  <c r="G41" s="1"/>
  <c r="E33" i="9"/>
  <c r="F33" s="1"/>
  <c r="H33" s="1"/>
  <c r="G34" s="1"/>
  <c r="C34"/>
  <c r="M34"/>
  <c r="O33"/>
  <c r="Q57" i="11"/>
  <c r="S57" s="1"/>
  <c r="R58" s="1"/>
  <c r="M32" i="2"/>
  <c r="D33"/>
  <c r="E33" s="1"/>
  <c r="F33" s="1"/>
  <c r="D42" i="10"/>
  <c r="V41"/>
  <c r="E41"/>
  <c r="N41"/>
  <c r="X41" s="1"/>
  <c r="V34" i="9"/>
  <c r="C34" i="2"/>
  <c r="N59" i="11"/>
  <c r="P58"/>
  <c r="C60"/>
  <c r="O60"/>
  <c r="D60"/>
  <c r="M44" i="10"/>
  <c r="O43"/>
  <c r="C44"/>
  <c r="X35" i="9"/>
  <c r="H33" i="2" l="1"/>
  <c r="G34" s="1"/>
  <c r="N32"/>
  <c r="W34" i="9"/>
  <c r="W41" i="10"/>
  <c r="F41"/>
  <c r="O34" i="9"/>
  <c r="M35"/>
  <c r="Y43" i="10"/>
  <c r="P43"/>
  <c r="R43" s="1"/>
  <c r="Q44" s="1"/>
  <c r="P33" i="9"/>
  <c r="R33" s="1"/>
  <c r="Q34" s="1"/>
  <c r="Y34" s="1"/>
  <c r="E34"/>
  <c r="F34" s="1"/>
  <c r="H34" s="1"/>
  <c r="G35" s="1"/>
  <c r="C35"/>
  <c r="H41" i="10"/>
  <c r="G42" s="1"/>
  <c r="Q58" i="11"/>
  <c r="S58" s="1"/>
  <c r="R59" s="1"/>
  <c r="M33" i="2"/>
  <c r="D34"/>
  <c r="E34" s="1"/>
  <c r="F34" s="1"/>
  <c r="D43" i="10"/>
  <c r="V42"/>
  <c r="E42"/>
  <c r="N42"/>
  <c r="X42" s="1"/>
  <c r="V35" i="9"/>
  <c r="C35" i="2"/>
  <c r="C61" i="11"/>
  <c r="N60"/>
  <c r="P59"/>
  <c r="O61"/>
  <c r="D61"/>
  <c r="C45" i="10"/>
  <c r="M45"/>
  <c r="O44"/>
  <c r="X36" i="9"/>
  <c r="H34" i="2" l="1"/>
  <c r="G35" s="1"/>
  <c r="N33"/>
  <c r="W35" i="9"/>
  <c r="Y44" i="10"/>
  <c r="P44"/>
  <c r="R44" s="1"/>
  <c r="Q45" s="1"/>
  <c r="W42"/>
  <c r="F42"/>
  <c r="H42" s="1"/>
  <c r="G43" s="1"/>
  <c r="P34" i="9"/>
  <c r="R34" s="1"/>
  <c r="Q35" s="1"/>
  <c r="Y35" s="1"/>
  <c r="E35"/>
  <c r="F35" s="1"/>
  <c r="H35" s="1"/>
  <c r="G36" s="1"/>
  <c r="C36"/>
  <c r="M36"/>
  <c r="O35"/>
  <c r="Q59" i="11"/>
  <c r="S59" s="1"/>
  <c r="R60" s="1"/>
  <c r="M34" i="2"/>
  <c r="D35"/>
  <c r="E35" s="1"/>
  <c r="F35" s="1"/>
  <c r="D44" i="10"/>
  <c r="V43"/>
  <c r="E43"/>
  <c r="N43"/>
  <c r="X43" s="1"/>
  <c r="V36" i="9"/>
  <c r="C36" i="2"/>
  <c r="N61" i="11"/>
  <c r="P60"/>
  <c r="C62"/>
  <c r="O62"/>
  <c r="D62"/>
  <c r="M46" i="10"/>
  <c r="O45"/>
  <c r="C46"/>
  <c r="X37" i="9"/>
  <c r="H35" i="2" l="1"/>
  <c r="G36" s="1"/>
  <c r="N34"/>
  <c r="W36" i="9"/>
  <c r="Y45" i="10"/>
  <c r="P45"/>
  <c r="M37" i="9"/>
  <c r="O36"/>
  <c r="W43" i="10"/>
  <c r="F43"/>
  <c r="H43" s="1"/>
  <c r="G44" s="1"/>
  <c r="P35" i="9"/>
  <c r="R35" s="1"/>
  <c r="Q36" s="1"/>
  <c r="Y36" s="1"/>
  <c r="E36"/>
  <c r="F36" s="1"/>
  <c r="H36" s="1"/>
  <c r="G37" s="1"/>
  <c r="C37"/>
  <c r="R45" i="10"/>
  <c r="Q46" s="1"/>
  <c r="Q60" i="11"/>
  <c r="S60" s="1"/>
  <c r="R61" s="1"/>
  <c r="N35" i="2"/>
  <c r="M35"/>
  <c r="D36"/>
  <c r="E36" s="1"/>
  <c r="F36" s="1"/>
  <c r="H36" s="1"/>
  <c r="G37" s="1"/>
  <c r="D45" i="10"/>
  <c r="V44"/>
  <c r="E44"/>
  <c r="N44"/>
  <c r="X44" s="1"/>
  <c r="V37" i="9"/>
  <c r="C37" i="2"/>
  <c r="C63" i="11"/>
  <c r="N62"/>
  <c r="P61"/>
  <c r="O63"/>
  <c r="D63"/>
  <c r="C47" i="10"/>
  <c r="M47"/>
  <c r="O46"/>
  <c r="X38" i="9"/>
  <c r="W37" l="1"/>
  <c r="M38"/>
  <c r="O37"/>
  <c r="Y46" i="10"/>
  <c r="P46"/>
  <c r="R46" s="1"/>
  <c r="Q47" s="1"/>
  <c r="W44"/>
  <c r="F44"/>
  <c r="H44" s="1"/>
  <c r="G45" s="1"/>
  <c r="E37" i="9"/>
  <c r="F37" s="1"/>
  <c r="H37" s="1"/>
  <c r="G38" s="1"/>
  <c r="C38"/>
  <c r="P36"/>
  <c r="R36" s="1"/>
  <c r="Q37" s="1"/>
  <c r="Y37" s="1"/>
  <c r="Q61" i="11"/>
  <c r="S61" s="1"/>
  <c r="R62" s="1"/>
  <c r="N36" i="2"/>
  <c r="M36"/>
  <c r="D37"/>
  <c r="E37" s="1"/>
  <c r="F37" s="1"/>
  <c r="H37" s="1"/>
  <c r="G38" s="1"/>
  <c r="D46" i="10"/>
  <c r="V45"/>
  <c r="E45"/>
  <c r="N45"/>
  <c r="X45" s="1"/>
  <c r="V38" i="9"/>
  <c r="C38" i="2"/>
  <c r="N63" i="11"/>
  <c r="P62"/>
  <c r="C64"/>
  <c r="O64"/>
  <c r="D64"/>
  <c r="M48" i="10"/>
  <c r="O47"/>
  <c r="C48"/>
  <c r="X39" i="9"/>
  <c r="W38" l="1"/>
  <c r="W45" i="10"/>
  <c r="F45"/>
  <c r="H45" s="1"/>
  <c r="G46" s="1"/>
  <c r="M39" i="9"/>
  <c r="O38"/>
  <c r="Y47" i="10"/>
  <c r="P47"/>
  <c r="R47" s="1"/>
  <c r="Q48" s="1"/>
  <c r="E38" i="9"/>
  <c r="F38" s="1"/>
  <c r="H38" s="1"/>
  <c r="G39" s="1"/>
  <c r="C39"/>
  <c r="P37"/>
  <c r="R37" s="1"/>
  <c r="Q38" s="1"/>
  <c r="Y38" s="1"/>
  <c r="Q62" i="11"/>
  <c r="S62" s="1"/>
  <c r="R63" s="1"/>
  <c r="N37" i="2"/>
  <c r="M37"/>
  <c r="D38"/>
  <c r="E38" s="1"/>
  <c r="F38" s="1"/>
  <c r="H38" s="1"/>
  <c r="G39" s="1"/>
  <c r="D47" i="10"/>
  <c r="V46"/>
  <c r="E46"/>
  <c r="N46"/>
  <c r="X46" s="1"/>
  <c r="V39" i="9"/>
  <c r="C39" i="2"/>
  <c r="C65" i="11"/>
  <c r="N64"/>
  <c r="P63"/>
  <c r="O65"/>
  <c r="D65"/>
  <c r="C49" i="10"/>
  <c r="M49"/>
  <c r="O48"/>
  <c r="X40" i="9"/>
  <c r="W39" l="1"/>
  <c r="Y48" i="10"/>
  <c r="P48"/>
  <c r="W46"/>
  <c r="F46"/>
  <c r="H46" s="1"/>
  <c r="G47" s="1"/>
  <c r="O39" i="9"/>
  <c r="M40"/>
  <c r="E39"/>
  <c r="F39" s="1"/>
  <c r="H39" s="1"/>
  <c r="G40" s="1"/>
  <c r="C40"/>
  <c r="P38"/>
  <c r="R38" s="1"/>
  <c r="Q39" s="1"/>
  <c r="Y39" s="1"/>
  <c r="R48" i="10"/>
  <c r="Q49" s="1"/>
  <c r="Q63" i="11"/>
  <c r="S63" s="1"/>
  <c r="R64" s="1"/>
  <c r="N38" i="2"/>
  <c r="M38"/>
  <c r="D39"/>
  <c r="E39" s="1"/>
  <c r="F39" s="1"/>
  <c r="H39" s="1"/>
  <c r="G40" s="1"/>
  <c r="D48" i="10"/>
  <c r="V47"/>
  <c r="E47"/>
  <c r="N47"/>
  <c r="X47" s="1"/>
  <c r="V40" i="9"/>
  <c r="C40" i="2"/>
  <c r="N65" i="11"/>
  <c r="P64"/>
  <c r="C66"/>
  <c r="O66"/>
  <c r="D66"/>
  <c r="M50" i="10"/>
  <c r="O49"/>
  <c r="C50"/>
  <c r="X41" i="9"/>
  <c r="W40" l="1"/>
  <c r="Y49" i="10"/>
  <c r="P49"/>
  <c r="P39" i="9"/>
  <c r="R39" s="1"/>
  <c r="Q40" s="1"/>
  <c r="Y40" s="1"/>
  <c r="W47" i="10"/>
  <c r="F47"/>
  <c r="H47" s="1"/>
  <c r="G48" s="1"/>
  <c r="E40" i="9"/>
  <c r="F40" s="1"/>
  <c r="H40" s="1"/>
  <c r="G41" s="1"/>
  <c r="C41"/>
  <c r="O40"/>
  <c r="M41"/>
  <c r="R49" i="10"/>
  <c r="Q50" s="1"/>
  <c r="Q64" i="11"/>
  <c r="S64" s="1"/>
  <c r="R65" s="1"/>
  <c r="N39" i="2"/>
  <c r="M39"/>
  <c r="D40"/>
  <c r="E40" s="1"/>
  <c r="F40" s="1"/>
  <c r="H40" s="1"/>
  <c r="G41" s="1"/>
  <c r="D49" i="10"/>
  <c r="V48"/>
  <c r="E48"/>
  <c r="N48"/>
  <c r="X48" s="1"/>
  <c r="V41" i="9"/>
  <c r="C41" i="2"/>
  <c r="C67" i="11"/>
  <c r="N66"/>
  <c r="P65"/>
  <c r="O67"/>
  <c r="D67"/>
  <c r="C51" i="10"/>
  <c r="M51"/>
  <c r="X42" i="9"/>
  <c r="W48" i="10" l="1"/>
  <c r="F48"/>
  <c r="H48" s="1"/>
  <c r="G49" s="1"/>
  <c r="M42" i="9"/>
  <c r="O41"/>
  <c r="E41"/>
  <c r="F41" s="1"/>
  <c r="H41" s="1"/>
  <c r="G42" s="1"/>
  <c r="W42" s="1"/>
  <c r="C42"/>
  <c r="P40"/>
  <c r="R40" s="1"/>
  <c r="Q41" s="1"/>
  <c r="Y41" s="1"/>
  <c r="W41"/>
  <c r="Q65" i="11"/>
  <c r="S65" s="1"/>
  <c r="R66" s="1"/>
  <c r="N40" i="2"/>
  <c r="M40"/>
  <c r="D41"/>
  <c r="E41" s="1"/>
  <c r="F41" s="1"/>
  <c r="H41" s="1"/>
  <c r="G42" s="1"/>
  <c r="D50" i="10"/>
  <c r="V49"/>
  <c r="E49"/>
  <c r="N49"/>
  <c r="X49" s="1"/>
  <c r="V42" i="9"/>
  <c r="C42" i="2"/>
  <c r="N67" i="11"/>
  <c r="P66"/>
  <c r="C68"/>
  <c r="O68"/>
  <c r="D68"/>
  <c r="M52" i="10"/>
  <c r="C52"/>
  <c r="X43" i="9"/>
  <c r="W49" i="10" l="1"/>
  <c r="F49"/>
  <c r="H49" s="1"/>
  <c r="G50" s="1"/>
  <c r="E42" i="9"/>
  <c r="F42" s="1"/>
  <c r="H42" s="1"/>
  <c r="G43" s="1"/>
  <c r="W43" s="1"/>
  <c r="C43"/>
  <c r="P41"/>
  <c r="R41" s="1"/>
  <c r="Q42" s="1"/>
  <c r="Y42" s="1"/>
  <c r="M43"/>
  <c r="O42"/>
  <c r="Q66" i="11"/>
  <c r="S66" s="1"/>
  <c r="R67" s="1"/>
  <c r="N41" i="2"/>
  <c r="M41"/>
  <c r="D42"/>
  <c r="D51" i="10"/>
  <c r="V50"/>
  <c r="E50"/>
  <c r="N50"/>
  <c r="X50" s="1"/>
  <c r="V43" i="9"/>
  <c r="C43" i="2"/>
  <c r="C69" i="11"/>
  <c r="P67"/>
  <c r="N68"/>
  <c r="O69"/>
  <c r="D69"/>
  <c r="C53" i="10"/>
  <c r="M53"/>
  <c r="X44" i="9"/>
  <c r="W50" i="10" l="1"/>
  <c r="F50"/>
  <c r="H50" s="1"/>
  <c r="G51" s="1"/>
  <c r="O43" i="9"/>
  <c r="M44"/>
  <c r="P42"/>
  <c r="R42" s="1"/>
  <c r="Q43" s="1"/>
  <c r="Y43" s="1"/>
  <c r="E43"/>
  <c r="F43" s="1"/>
  <c r="H43" s="1"/>
  <c r="G44" s="1"/>
  <c r="W44" s="1"/>
  <c r="C44"/>
  <c r="Q67" i="11"/>
  <c r="S67" s="1"/>
  <c r="R68" s="1"/>
  <c r="M42" i="2"/>
  <c r="D43"/>
  <c r="E43" s="1"/>
  <c r="F43" s="1"/>
  <c r="E42"/>
  <c r="F42" s="1"/>
  <c r="H42" s="1"/>
  <c r="G43" s="1"/>
  <c r="D52" i="10"/>
  <c r="V51"/>
  <c r="E51"/>
  <c r="N51"/>
  <c r="X51" s="1"/>
  <c r="O50"/>
  <c r="V44" i="9"/>
  <c r="C44" i="2"/>
  <c r="N69" i="11"/>
  <c r="C70"/>
  <c r="O70"/>
  <c r="D70"/>
  <c r="C54" i="10"/>
  <c r="M54"/>
  <c r="X45" i="9"/>
  <c r="Y50" i="10" l="1"/>
  <c r="P50"/>
  <c r="R50" s="1"/>
  <c r="Q51" s="1"/>
  <c r="W51"/>
  <c r="F51"/>
  <c r="H51" s="1"/>
  <c r="G52" s="1"/>
  <c r="E44" i="9"/>
  <c r="F44" s="1"/>
  <c r="H44" s="1"/>
  <c r="G45" s="1"/>
  <c r="C45"/>
  <c r="M45"/>
  <c r="O44"/>
  <c r="P43"/>
  <c r="R43" s="1"/>
  <c r="Q44" s="1"/>
  <c r="Y44" s="1"/>
  <c r="H43" i="2"/>
  <c r="G44" s="1"/>
  <c r="N42"/>
  <c r="D53" i="10"/>
  <c r="V52"/>
  <c r="E52"/>
  <c r="M43" i="2"/>
  <c r="D44"/>
  <c r="E44" s="1"/>
  <c r="F44" s="1"/>
  <c r="N52" i="10"/>
  <c r="X52" s="1"/>
  <c r="O51"/>
  <c r="V45" i="9"/>
  <c r="C45" i="2"/>
  <c r="C71" i="11"/>
  <c r="N70"/>
  <c r="O71"/>
  <c r="D71"/>
  <c r="M55" i="10"/>
  <c r="C55"/>
  <c r="X46" i="9"/>
  <c r="N43" i="2" l="1"/>
  <c r="Y51" i="10"/>
  <c r="P51"/>
  <c r="R51" s="1"/>
  <c r="Q52" s="1"/>
  <c r="W52"/>
  <c r="F52"/>
  <c r="H52" s="1"/>
  <c r="G53" s="1"/>
  <c r="P44" i="9"/>
  <c r="R44" s="1"/>
  <c r="Q45" s="1"/>
  <c r="Y45" s="1"/>
  <c r="E45"/>
  <c r="F45" s="1"/>
  <c r="C46"/>
  <c r="M46"/>
  <c r="O45"/>
  <c r="H45"/>
  <c r="G46" s="1"/>
  <c r="W46" s="1"/>
  <c r="W45"/>
  <c r="H44" i="2"/>
  <c r="G45" s="1"/>
  <c r="M44"/>
  <c r="D45"/>
  <c r="D54" i="10"/>
  <c r="V53"/>
  <c r="E53"/>
  <c r="N53"/>
  <c r="X53" s="1"/>
  <c r="O52"/>
  <c r="V46" i="9"/>
  <c r="C46" i="2"/>
  <c r="N71" i="11"/>
  <c r="C72"/>
  <c r="O72"/>
  <c r="D72"/>
  <c r="C56" i="10"/>
  <c r="M56"/>
  <c r="X47" i="9"/>
  <c r="Y52" i="10" l="1"/>
  <c r="P52"/>
  <c r="W53"/>
  <c r="F53"/>
  <c r="H53" s="1"/>
  <c r="G54" s="1"/>
  <c r="P45" i="9"/>
  <c r="R45" s="1"/>
  <c r="Q46" s="1"/>
  <c r="Y46" s="1"/>
  <c r="E46"/>
  <c r="F46" s="1"/>
  <c r="H46" s="1"/>
  <c r="G47" s="1"/>
  <c r="C47"/>
  <c r="M47"/>
  <c r="O46"/>
  <c r="R52" i="10"/>
  <c r="Q53" s="1"/>
  <c r="N44" i="2"/>
  <c r="M45"/>
  <c r="D46"/>
  <c r="E46" s="1"/>
  <c r="F46" s="1"/>
  <c r="E45"/>
  <c r="F45" s="1"/>
  <c r="H45" s="1"/>
  <c r="G46" s="1"/>
  <c r="D55" i="10"/>
  <c r="V54"/>
  <c r="E54"/>
  <c r="N54"/>
  <c r="X54" s="1"/>
  <c r="O53"/>
  <c r="V47" i="9"/>
  <c r="C47" i="2"/>
  <c r="C73" i="11"/>
  <c r="N72"/>
  <c r="O73"/>
  <c r="D73"/>
  <c r="M57" i="10"/>
  <c r="C57"/>
  <c r="X48" i="9"/>
  <c r="H46" i="2" l="1"/>
  <c r="G47" s="1"/>
  <c r="P46" i="9"/>
  <c r="R46" s="1"/>
  <c r="Q47" s="1"/>
  <c r="Y47" s="1"/>
  <c r="E47"/>
  <c r="F47" s="1"/>
  <c r="C48"/>
  <c r="Y53" i="10"/>
  <c r="P53"/>
  <c r="W54"/>
  <c r="F54"/>
  <c r="H54" s="1"/>
  <c r="G55" s="1"/>
  <c r="M48" i="9"/>
  <c r="O47"/>
  <c r="H47"/>
  <c r="G48" s="1"/>
  <c r="W48" s="1"/>
  <c r="R53" i="10"/>
  <c r="Q54" s="1"/>
  <c r="W47" i="9"/>
  <c r="N45" i="2"/>
  <c r="D56" i="10"/>
  <c r="V55"/>
  <c r="E55"/>
  <c r="M46" i="2"/>
  <c r="D47"/>
  <c r="E47" s="1"/>
  <c r="F47" s="1"/>
  <c r="N55" i="10"/>
  <c r="X55" s="1"/>
  <c r="O54"/>
  <c r="V48" i="9"/>
  <c r="C48" i="2"/>
  <c r="N73" i="11"/>
  <c r="C74"/>
  <c r="O74"/>
  <c r="D74"/>
  <c r="C58" i="10"/>
  <c r="M58"/>
  <c r="X49" i="9"/>
  <c r="H47" i="2" l="1"/>
  <c r="G48" s="1"/>
  <c r="N46"/>
  <c r="O48" i="9"/>
  <c r="M49"/>
  <c r="Y54" i="10"/>
  <c r="P54"/>
  <c r="R54" s="1"/>
  <c r="Q55" s="1"/>
  <c r="W55"/>
  <c r="F55"/>
  <c r="H55" s="1"/>
  <c r="G56" s="1"/>
  <c r="P47" i="9"/>
  <c r="R47" s="1"/>
  <c r="Q48" s="1"/>
  <c r="Y48" s="1"/>
  <c r="E48"/>
  <c r="F48" s="1"/>
  <c r="C49"/>
  <c r="H48"/>
  <c r="G49" s="1"/>
  <c r="W49" s="1"/>
  <c r="N47" i="2"/>
  <c r="M47"/>
  <c r="D48"/>
  <c r="D57" i="10"/>
  <c r="V56"/>
  <c r="E56"/>
  <c r="N56"/>
  <c r="X56" s="1"/>
  <c r="O55"/>
  <c r="V49" i="9"/>
  <c r="C49" i="2"/>
  <c r="C75" i="11"/>
  <c r="N74"/>
  <c r="O75"/>
  <c r="D75"/>
  <c r="M59" i="10"/>
  <c r="C59"/>
  <c r="X50" i="9"/>
  <c r="E49" l="1"/>
  <c r="F49" s="1"/>
  <c r="H49" s="1"/>
  <c r="G50" s="1"/>
  <c r="W50" s="1"/>
  <c r="C50"/>
  <c r="M50"/>
  <c r="O49"/>
  <c r="Y55" i="10"/>
  <c r="P55"/>
  <c r="R55" s="1"/>
  <c r="Q56" s="1"/>
  <c r="W56"/>
  <c r="F56"/>
  <c r="H56" s="1"/>
  <c r="G57" s="1"/>
  <c r="P48" i="9"/>
  <c r="R48" s="1"/>
  <c r="Q49" s="1"/>
  <c r="Y49" s="1"/>
  <c r="M48" i="2"/>
  <c r="D49"/>
  <c r="E49" s="1"/>
  <c r="F49" s="1"/>
  <c r="E48"/>
  <c r="F48" s="1"/>
  <c r="H48" s="1"/>
  <c r="G49" s="1"/>
  <c r="D58" i="10"/>
  <c r="V57"/>
  <c r="E57"/>
  <c r="N57"/>
  <c r="X57" s="1"/>
  <c r="O56"/>
  <c r="V50" i="9"/>
  <c r="C50" i="2"/>
  <c r="N75" i="11"/>
  <c r="C76"/>
  <c r="O76"/>
  <c r="D76"/>
  <c r="C60" i="10"/>
  <c r="M60"/>
  <c r="X51" i="9"/>
  <c r="Y56" i="10" l="1"/>
  <c r="P56"/>
  <c r="R56" s="1"/>
  <c r="Q57" s="1"/>
  <c r="W57"/>
  <c r="F57"/>
  <c r="H57" s="1"/>
  <c r="G58" s="1"/>
  <c r="P49" i="9"/>
  <c r="R49" s="1"/>
  <c r="Q50" s="1"/>
  <c r="Y50" s="1"/>
  <c r="E50"/>
  <c r="F50" s="1"/>
  <c r="H50" s="1"/>
  <c r="G51" s="1"/>
  <c r="W51" s="1"/>
  <c r="C51"/>
  <c r="O50"/>
  <c r="M51"/>
  <c r="H49" i="2"/>
  <c r="G50" s="1"/>
  <c r="N48"/>
  <c r="D59" i="10"/>
  <c r="V58"/>
  <c r="E58"/>
  <c r="M49" i="2"/>
  <c r="D50"/>
  <c r="E50" s="1"/>
  <c r="F50" s="1"/>
  <c r="N58" i="10"/>
  <c r="X58" s="1"/>
  <c r="O57"/>
  <c r="V51" i="9"/>
  <c r="C51" i="2"/>
  <c r="C77" i="11"/>
  <c r="N76"/>
  <c r="O77"/>
  <c r="D77"/>
  <c r="M61" i="10"/>
  <c r="C61"/>
  <c r="X52" i="9"/>
  <c r="Y57" i="10" l="1"/>
  <c r="P57"/>
  <c r="R57" s="1"/>
  <c r="Q58" s="1"/>
  <c r="W58"/>
  <c r="F58"/>
  <c r="H58" s="1"/>
  <c r="G59" s="1"/>
  <c r="M52" i="9"/>
  <c r="O51"/>
  <c r="E51"/>
  <c r="F51" s="1"/>
  <c r="C52"/>
  <c r="P50"/>
  <c r="R50" s="1"/>
  <c r="Q51" s="1"/>
  <c r="Y51" s="1"/>
  <c r="H50" i="2"/>
  <c r="G51" s="1"/>
  <c r="H51" i="9"/>
  <c r="G52" s="1"/>
  <c r="N49" i="2"/>
  <c r="M50"/>
  <c r="D51"/>
  <c r="D60" i="10"/>
  <c r="V59"/>
  <c r="E59"/>
  <c r="N59"/>
  <c r="X59" s="1"/>
  <c r="O58"/>
  <c r="V52" i="9"/>
  <c r="C52" i="2"/>
  <c r="N77" i="11"/>
  <c r="C78"/>
  <c r="O78"/>
  <c r="D78"/>
  <c r="C62" i="10"/>
  <c r="M62"/>
  <c r="X53" i="9"/>
  <c r="N50" i="2" l="1"/>
  <c r="E52" i="9"/>
  <c r="F52" s="1"/>
  <c r="H52" s="1"/>
  <c r="G53" s="1"/>
  <c r="W53" s="1"/>
  <c r="C53"/>
  <c r="P51"/>
  <c r="R51" s="1"/>
  <c r="Q52" s="1"/>
  <c r="Y52" s="1"/>
  <c r="Y58" i="10"/>
  <c r="P58"/>
  <c r="R58" s="1"/>
  <c r="Q59" s="1"/>
  <c r="W59"/>
  <c r="F59"/>
  <c r="H59" s="1"/>
  <c r="G60" s="1"/>
  <c r="O52" i="9"/>
  <c r="M53"/>
  <c r="W52"/>
  <c r="M51" i="2"/>
  <c r="D52"/>
  <c r="E52" s="1"/>
  <c r="F52" s="1"/>
  <c r="E51"/>
  <c r="F51" s="1"/>
  <c r="H51" s="1"/>
  <c r="G52" s="1"/>
  <c r="D61" i="10"/>
  <c r="V60"/>
  <c r="E60"/>
  <c r="N60"/>
  <c r="X60" s="1"/>
  <c r="O59"/>
  <c r="V53" i="9"/>
  <c r="C53" i="2"/>
  <c r="C79" i="11"/>
  <c r="N78"/>
  <c r="O79"/>
  <c r="D79"/>
  <c r="M63" i="10"/>
  <c r="C63"/>
  <c r="X54" i="9"/>
  <c r="Y59" i="10" l="1"/>
  <c r="P59"/>
  <c r="R59" s="1"/>
  <c r="Q60" s="1"/>
  <c r="W60"/>
  <c r="F60"/>
  <c r="H60" s="1"/>
  <c r="G61" s="1"/>
  <c r="M54" i="9"/>
  <c r="O53"/>
  <c r="E53"/>
  <c r="F53" s="1"/>
  <c r="H53" s="1"/>
  <c r="G54" s="1"/>
  <c r="C54"/>
  <c r="P52"/>
  <c r="R52" s="1"/>
  <c r="Q53" s="1"/>
  <c r="Y53" s="1"/>
  <c r="H52" i="2"/>
  <c r="G53" s="1"/>
  <c r="N51"/>
  <c r="N52"/>
  <c r="D62" i="10"/>
  <c r="V61"/>
  <c r="E61"/>
  <c r="M52" i="2"/>
  <c r="D53"/>
  <c r="E53" s="1"/>
  <c r="F53" s="1"/>
  <c r="N61" i="10"/>
  <c r="X61" s="1"/>
  <c r="O60"/>
  <c r="V54" i="9"/>
  <c r="C54" i="2"/>
  <c r="C80" i="11"/>
  <c r="N79"/>
  <c r="O80"/>
  <c r="D80"/>
  <c r="C64" i="10"/>
  <c r="M64"/>
  <c r="X55" i="9"/>
  <c r="Y60" i="10" l="1"/>
  <c r="P60"/>
  <c r="R60" s="1"/>
  <c r="Q61" s="1"/>
  <c r="W61"/>
  <c r="F61"/>
  <c r="H61" s="1"/>
  <c r="G62" s="1"/>
  <c r="E54" i="9"/>
  <c r="F54" s="1"/>
  <c r="H54" s="1"/>
  <c r="G55" s="1"/>
  <c r="W55" s="1"/>
  <c r="C55"/>
  <c r="P53"/>
  <c r="R53" s="1"/>
  <c r="Q54" s="1"/>
  <c r="Y54" s="1"/>
  <c r="M55"/>
  <c r="O54"/>
  <c r="W54"/>
  <c r="H53" i="2"/>
  <c r="G54" s="1"/>
  <c r="M53"/>
  <c r="D54"/>
  <c r="D63" i="10"/>
  <c r="V62"/>
  <c r="X17" s="1"/>
  <c r="I17" i="11" s="1"/>
  <c r="E62" i="10"/>
  <c r="F62" s="1"/>
  <c r="N62"/>
  <c r="X62" s="1"/>
  <c r="O61"/>
  <c r="V55" i="9"/>
  <c r="C55" i="2"/>
  <c r="N80" i="11"/>
  <c r="C81"/>
  <c r="O81"/>
  <c r="D81"/>
  <c r="M65" i="10"/>
  <c r="C65"/>
  <c r="X56" i="9"/>
  <c r="N53" i="2" l="1"/>
  <c r="H62" i="10"/>
  <c r="G63" s="1"/>
  <c r="P54" i="9"/>
  <c r="R54" s="1"/>
  <c r="Q55" s="1"/>
  <c r="Y55" s="1"/>
  <c r="E55"/>
  <c r="F55" s="1"/>
  <c r="H55" s="1"/>
  <c r="G56" s="1"/>
  <c r="W56" s="1"/>
  <c r="C56"/>
  <c r="Y61" i="10"/>
  <c r="P61"/>
  <c r="R61" s="1"/>
  <c r="Q62" s="1"/>
  <c r="M56" i="9"/>
  <c r="O55"/>
  <c r="M54" i="2"/>
  <c r="D55"/>
  <c r="E54"/>
  <c r="F54" s="1"/>
  <c r="H54" s="1"/>
  <c r="G55" s="1"/>
  <c r="W62" i="10"/>
  <c r="X18" s="1"/>
  <c r="I18" i="11" s="1"/>
  <c r="D64" i="10"/>
  <c r="V63"/>
  <c r="E63"/>
  <c r="N63"/>
  <c r="X63" s="1"/>
  <c r="O62"/>
  <c r="V56" i="9"/>
  <c r="C56" i="2"/>
  <c r="E55"/>
  <c r="F55" s="1"/>
  <c r="C82" i="11"/>
  <c r="N81"/>
  <c r="O82"/>
  <c r="D82"/>
  <c r="C66" i="10"/>
  <c r="M66"/>
  <c r="X57" i="9"/>
  <c r="H55" i="2" l="1"/>
  <c r="G56" s="1"/>
  <c r="P55" i="9"/>
  <c r="R55" s="1"/>
  <c r="Q56" s="1"/>
  <c r="Y56" s="1"/>
  <c r="E56"/>
  <c r="F56" s="1"/>
  <c r="C57"/>
  <c r="Y62" i="10"/>
  <c r="P62"/>
  <c r="W63"/>
  <c r="F63"/>
  <c r="H63" s="1"/>
  <c r="G64" s="1"/>
  <c r="M57" i="9"/>
  <c r="O56"/>
  <c r="H56"/>
  <c r="G57" s="1"/>
  <c r="R62" i="10"/>
  <c r="Q63" s="1"/>
  <c r="N54" i="2"/>
  <c r="D65" i="10"/>
  <c r="V64"/>
  <c r="E64"/>
  <c r="M55" i="2"/>
  <c r="D56"/>
  <c r="E56" s="1"/>
  <c r="F56" s="1"/>
  <c r="Y18" i="10"/>
  <c r="J18" i="11" s="1"/>
  <c r="Y17" i="10"/>
  <c r="J17" i="11" s="1"/>
  <c r="N64" i="10"/>
  <c r="X64" s="1"/>
  <c r="O63"/>
  <c r="V57" i="9"/>
  <c r="C57" i="2"/>
  <c r="N82" i="11"/>
  <c r="C83"/>
  <c r="O83"/>
  <c r="D83"/>
  <c r="M67" i="10"/>
  <c r="C67"/>
  <c r="W57" i="9"/>
  <c r="X58"/>
  <c r="H56" i="2" l="1"/>
  <c r="G57" s="1"/>
  <c r="Y63" i="10"/>
  <c r="P63"/>
  <c r="R63" s="1"/>
  <c r="Q64" s="1"/>
  <c r="W64"/>
  <c r="F64"/>
  <c r="P56" i="9"/>
  <c r="R56" s="1"/>
  <c r="Q57" s="1"/>
  <c r="Y57" s="1"/>
  <c r="E57"/>
  <c r="F57" s="1"/>
  <c r="H57" s="1"/>
  <c r="G58" s="1"/>
  <c r="C58"/>
  <c r="H64" i="10"/>
  <c r="G65" s="1"/>
  <c r="O57" i="9"/>
  <c r="M58"/>
  <c r="N55" i="2"/>
  <c r="N56"/>
  <c r="M56"/>
  <c r="D57"/>
  <c r="D66" i="10"/>
  <c r="V65"/>
  <c r="E65"/>
  <c r="N65"/>
  <c r="X65" s="1"/>
  <c r="O64"/>
  <c r="V58" i="9"/>
  <c r="C58" i="2"/>
  <c r="C84" i="11"/>
  <c r="N83"/>
  <c r="O84"/>
  <c r="D84"/>
  <c r="C68" i="10"/>
  <c r="M68"/>
  <c r="X59" i="9"/>
  <c r="W58" l="1"/>
  <c r="Y64" i="10"/>
  <c r="P64"/>
  <c r="R64" s="1"/>
  <c r="Q65" s="1"/>
  <c r="W65"/>
  <c r="F65"/>
  <c r="H65" s="1"/>
  <c r="G66" s="1"/>
  <c r="O58" i="9"/>
  <c r="M59"/>
  <c r="P57"/>
  <c r="R57" s="1"/>
  <c r="Q58" s="1"/>
  <c r="Y58" s="1"/>
  <c r="E58"/>
  <c r="F58" s="1"/>
  <c r="H58" s="1"/>
  <c r="G59" s="1"/>
  <c r="C59"/>
  <c r="M57" i="2"/>
  <c r="D58"/>
  <c r="E58" s="1"/>
  <c r="F58" s="1"/>
  <c r="E57"/>
  <c r="F57" s="1"/>
  <c r="H57" s="1"/>
  <c r="G58" s="1"/>
  <c r="D67" i="10"/>
  <c r="V66"/>
  <c r="E66"/>
  <c r="N66"/>
  <c r="X66" s="1"/>
  <c r="O65"/>
  <c r="V59" i="9"/>
  <c r="C59" i="2"/>
  <c r="C85" i="11"/>
  <c r="N84"/>
  <c r="O85"/>
  <c r="D85"/>
  <c r="M69" i="10"/>
  <c r="Q8" s="1"/>
  <c r="J8" i="11" s="1"/>
  <c r="C69" i="10"/>
  <c r="X60" i="9"/>
  <c r="H58" i="2" l="1"/>
  <c r="G59" s="1"/>
  <c r="W59" i="9"/>
  <c r="Y65" i="10"/>
  <c r="P65"/>
  <c r="W66"/>
  <c r="F66"/>
  <c r="H66" s="1"/>
  <c r="G67" s="1"/>
  <c r="P58" i="9"/>
  <c r="R58" s="1"/>
  <c r="Q59" s="1"/>
  <c r="Y59" s="1"/>
  <c r="E59"/>
  <c r="F59" s="1"/>
  <c r="H59" s="1"/>
  <c r="G60" s="1"/>
  <c r="C60"/>
  <c r="M60"/>
  <c r="O59"/>
  <c r="R65" i="10"/>
  <c r="Q66" s="1"/>
  <c r="N57" i="2"/>
  <c r="W16" i="10"/>
  <c r="G8"/>
  <c r="I8" i="11" s="1"/>
  <c r="D68" i="10"/>
  <c r="V67"/>
  <c r="E67"/>
  <c r="M58" i="2"/>
  <c r="D59"/>
  <c r="E59" s="1"/>
  <c r="F59" s="1"/>
  <c r="H59" s="1"/>
  <c r="G60" s="1"/>
  <c r="N67" i="10"/>
  <c r="X67" s="1"/>
  <c r="O66"/>
  <c r="V60" i="9"/>
  <c r="C60" i="2"/>
  <c r="N85" i="11"/>
  <c r="C86"/>
  <c r="O86"/>
  <c r="D86"/>
  <c r="X61" i="9"/>
  <c r="N58" i="2" l="1"/>
  <c r="W60" i="9"/>
  <c r="P59"/>
  <c r="R59" s="1"/>
  <c r="Q60" s="1"/>
  <c r="Y60" s="1"/>
  <c r="E60"/>
  <c r="F60" s="1"/>
  <c r="H60" s="1"/>
  <c r="G61" s="1"/>
  <c r="W61" s="1"/>
  <c r="C61"/>
  <c r="Y66" i="10"/>
  <c r="P66"/>
  <c r="R66" s="1"/>
  <c r="Q67" s="1"/>
  <c r="W67"/>
  <c r="F67"/>
  <c r="H67" s="1"/>
  <c r="G68" s="1"/>
  <c r="M61" i="9"/>
  <c r="O60"/>
  <c r="N59" i="2"/>
  <c r="M59"/>
  <c r="D60"/>
  <c r="D69" i="10"/>
  <c r="V68"/>
  <c r="E68"/>
  <c r="N68"/>
  <c r="X68" s="1"/>
  <c r="O67"/>
  <c r="V61" i="9"/>
  <c r="C61" i="2"/>
  <c r="C87" i="11"/>
  <c r="N86"/>
  <c r="O87"/>
  <c r="D87"/>
  <c r="Y67" i="10" l="1"/>
  <c r="P67"/>
  <c r="W68"/>
  <c r="F68"/>
  <c r="H68" s="1"/>
  <c r="G69" s="1"/>
  <c r="P60" i="9"/>
  <c r="R60" s="1"/>
  <c r="Q61" s="1"/>
  <c r="Y61" s="1"/>
  <c r="M62"/>
  <c r="O62" s="1"/>
  <c r="P62" s="1"/>
  <c r="O61"/>
  <c r="R67" i="10"/>
  <c r="Q68" s="1"/>
  <c r="E61" i="9"/>
  <c r="F61" s="1"/>
  <c r="H61" s="1"/>
  <c r="G62" s="1"/>
  <c r="C62"/>
  <c r="G8" s="1"/>
  <c r="G8" i="11" s="1"/>
  <c r="M60" i="2"/>
  <c r="D61"/>
  <c r="E61" s="1"/>
  <c r="F61" s="1"/>
  <c r="E60"/>
  <c r="F60" s="1"/>
  <c r="H60" s="1"/>
  <c r="G61" s="1"/>
  <c r="V69" i="10"/>
  <c r="E69"/>
  <c r="F69" s="1"/>
  <c r="N69"/>
  <c r="O68"/>
  <c r="X62" i="9"/>
  <c r="V62"/>
  <c r="X17" s="1"/>
  <c r="G17" i="11" s="1"/>
  <c r="C62" i="2"/>
  <c r="G33" i="11"/>
  <c r="N87"/>
  <c r="H69" i="10" l="1"/>
  <c r="F17" s="1"/>
  <c r="Y68"/>
  <c r="P68"/>
  <c r="R68" s="1"/>
  <c r="Q69" s="1"/>
  <c r="P61" i="9"/>
  <c r="R61" s="1"/>
  <c r="Q62" s="1"/>
  <c r="R62" s="1"/>
  <c r="P17" s="1"/>
  <c r="H61" i="2"/>
  <c r="G62" s="1"/>
  <c r="E62" i="9"/>
  <c r="F62" s="1"/>
  <c r="H62" s="1"/>
  <c r="F17" s="1"/>
  <c r="W16"/>
  <c r="N60" i="2"/>
  <c r="M7"/>
  <c r="N7"/>
  <c r="W62" i="9"/>
  <c r="W69" i="10"/>
  <c r="X16"/>
  <c r="I16" i="11" s="1"/>
  <c r="F19" i="10"/>
  <c r="X19" s="1"/>
  <c r="I19" i="11" s="1"/>
  <c r="M61" i="2"/>
  <c r="D62"/>
  <c r="Y18" i="9"/>
  <c r="H18" i="11" s="1"/>
  <c r="Y17" i="9"/>
  <c r="H17" i="11" s="1"/>
  <c r="O69" i="10"/>
  <c r="P69" s="1"/>
  <c r="X69"/>
  <c r="G8" i="2"/>
  <c r="F8" i="11" s="1"/>
  <c r="Q8" i="9"/>
  <c r="H8" i="11" s="1"/>
  <c r="R33"/>
  <c r="X16" i="9" l="1"/>
  <c r="G16" i="11" s="1"/>
  <c r="N61" i="2"/>
  <c r="R69" i="10"/>
  <c r="P17" s="1"/>
  <c r="Y16" i="9"/>
  <c r="H16" i="11" s="1"/>
  <c r="Y69" i="10"/>
  <c r="Y16"/>
  <c r="J16" i="11" s="1"/>
  <c r="M62" i="2"/>
  <c r="P8" s="1"/>
  <c r="F17" i="11" s="1"/>
  <c r="E62" i="2"/>
  <c r="F62" s="1"/>
  <c r="H62" s="1"/>
  <c r="X18" i="9"/>
  <c r="G18" i="11" s="1"/>
  <c r="Y62" i="9"/>
  <c r="F19"/>
  <c r="C4" i="3" s="1"/>
  <c r="N62" i="2" l="1"/>
  <c r="P9" s="1"/>
  <c r="F18" i="11" s="1"/>
  <c r="O7" i="2"/>
  <c r="P7" s="1"/>
  <c r="F16" i="11" s="1"/>
  <c r="F17" i="2"/>
  <c r="P19" i="10"/>
  <c r="Y19" s="1"/>
  <c r="J19" i="11" s="1"/>
  <c r="P19" i="9"/>
  <c r="C6" i="3" s="1"/>
  <c r="X19" i="9"/>
  <c r="G19" i="11" s="1"/>
  <c r="G42" l="1"/>
  <c r="F19" i="2"/>
  <c r="R42" i="11"/>
  <c r="Y19" i="9"/>
  <c r="H19" i="11" s="1"/>
  <c r="G44" l="1"/>
  <c r="F21" i="10"/>
  <c r="P21"/>
  <c r="C5" i="3"/>
  <c r="R44" i="11"/>
  <c r="P23" i="10"/>
  <c r="P25" s="1"/>
  <c r="F23"/>
  <c r="F25" s="1"/>
  <c r="P10" i="2"/>
  <c r="F19" i="11" s="1"/>
  <c r="Q34" l="1"/>
  <c r="C24" i="3"/>
  <c r="C23"/>
  <c r="F34" i="11"/>
  <c r="E61" l="1"/>
  <c r="F61" s="1"/>
  <c r="E65"/>
  <c r="F65" s="1"/>
  <c r="E69"/>
  <c r="F69" s="1"/>
  <c r="E73"/>
  <c r="F73" s="1"/>
  <c r="E77"/>
  <c r="F77" s="1"/>
  <c r="E81"/>
  <c r="F81" s="1"/>
  <c r="E85"/>
  <c r="F85" s="1"/>
  <c r="E58"/>
  <c r="E62"/>
  <c r="F62" s="1"/>
  <c r="E66"/>
  <c r="F66" s="1"/>
  <c r="E70"/>
  <c r="F70" s="1"/>
  <c r="E74"/>
  <c r="F74" s="1"/>
  <c r="E78"/>
  <c r="F78" s="1"/>
  <c r="E82"/>
  <c r="F82" s="1"/>
  <c r="E86"/>
  <c r="F86" s="1"/>
  <c r="E59"/>
  <c r="F59" s="1"/>
  <c r="E63"/>
  <c r="F63" s="1"/>
  <c r="E67"/>
  <c r="F67" s="1"/>
  <c r="E71"/>
  <c r="F71" s="1"/>
  <c r="E75"/>
  <c r="F75" s="1"/>
  <c r="E79"/>
  <c r="F79" s="1"/>
  <c r="E83"/>
  <c r="F83" s="1"/>
  <c r="E87"/>
  <c r="F87" s="1"/>
  <c r="E60"/>
  <c r="F60" s="1"/>
  <c r="E64"/>
  <c r="F64" s="1"/>
  <c r="E68"/>
  <c r="F68" s="1"/>
  <c r="E72"/>
  <c r="F72" s="1"/>
  <c r="E76"/>
  <c r="F76" s="1"/>
  <c r="E80"/>
  <c r="F80" s="1"/>
  <c r="E84"/>
  <c r="F84" s="1"/>
  <c r="G34"/>
  <c r="P69"/>
  <c r="Q69" s="1"/>
  <c r="P75"/>
  <c r="Q75" s="1"/>
  <c r="P83"/>
  <c r="Q83" s="1"/>
  <c r="P68"/>
  <c r="P72"/>
  <c r="Q72" s="1"/>
  <c r="P76"/>
  <c r="Q76" s="1"/>
  <c r="P80"/>
  <c r="Q80" s="1"/>
  <c r="P84"/>
  <c r="Q84" s="1"/>
  <c r="R34"/>
  <c r="P77"/>
  <c r="Q77" s="1"/>
  <c r="P85"/>
  <c r="Q85" s="1"/>
  <c r="P73"/>
  <c r="Q73" s="1"/>
  <c r="P79"/>
  <c r="Q79" s="1"/>
  <c r="P87"/>
  <c r="Q87" s="1"/>
  <c r="P70"/>
  <c r="Q70" s="1"/>
  <c r="P74"/>
  <c r="Q74" s="1"/>
  <c r="P78"/>
  <c r="Q78" s="1"/>
  <c r="P82"/>
  <c r="Q82" s="1"/>
  <c r="P86"/>
  <c r="Q86" s="1"/>
  <c r="P71"/>
  <c r="Q71" s="1"/>
  <c r="P81"/>
  <c r="Q81" s="1"/>
  <c r="F58" l="1"/>
  <c r="H58" s="1"/>
  <c r="G59" s="1"/>
  <c r="H59" s="1"/>
  <c r="G60" s="1"/>
  <c r="H60" s="1"/>
  <c r="G61" s="1"/>
  <c r="H61" s="1"/>
  <c r="G62" s="1"/>
  <c r="H62" s="1"/>
  <c r="G63" s="1"/>
  <c r="H63" s="1"/>
  <c r="G64" s="1"/>
  <c r="H64" s="1"/>
  <c r="G65" s="1"/>
  <c r="H65" s="1"/>
  <c r="G66" s="1"/>
  <c r="H66" s="1"/>
  <c r="G67" s="1"/>
  <c r="H67" s="1"/>
  <c r="G68" s="1"/>
  <c r="H68" s="1"/>
  <c r="G69" s="1"/>
  <c r="H69" s="1"/>
  <c r="G70" s="1"/>
  <c r="H70" s="1"/>
  <c r="G71" s="1"/>
  <c r="H71" s="1"/>
  <c r="G72" s="1"/>
  <c r="H72" s="1"/>
  <c r="G73" s="1"/>
  <c r="H73" s="1"/>
  <c r="G74" s="1"/>
  <c r="H74" s="1"/>
  <c r="G75" s="1"/>
  <c r="H75" s="1"/>
  <c r="G76" s="1"/>
  <c r="H76" s="1"/>
  <c r="G77" s="1"/>
  <c r="H77" s="1"/>
  <c r="G78" s="1"/>
  <c r="H78" s="1"/>
  <c r="G79" s="1"/>
  <c r="H79" s="1"/>
  <c r="G80" s="1"/>
  <c r="H80" s="1"/>
  <c r="G81" s="1"/>
  <c r="H81" s="1"/>
  <c r="G82" s="1"/>
  <c r="H82" s="1"/>
  <c r="G83" s="1"/>
  <c r="H83" s="1"/>
  <c r="G84" s="1"/>
  <c r="H84" s="1"/>
  <c r="G85" s="1"/>
  <c r="H85" s="1"/>
  <c r="G86" s="1"/>
  <c r="H86" s="1"/>
  <c r="G87" s="1"/>
  <c r="Q68"/>
  <c r="S68" s="1"/>
  <c r="R69" s="1"/>
  <c r="S69" s="1"/>
  <c r="R70" s="1"/>
  <c r="S70" s="1"/>
  <c r="R71" s="1"/>
  <c r="S71" s="1"/>
  <c r="R72" s="1"/>
  <c r="S72" s="1"/>
  <c r="R73" s="1"/>
  <c r="S73" s="1"/>
  <c r="R74" s="1"/>
  <c r="S74" s="1"/>
  <c r="R75" s="1"/>
  <c r="S75" s="1"/>
  <c r="R76" s="1"/>
  <c r="S76" s="1"/>
  <c r="R77" s="1"/>
  <c r="S77" s="1"/>
  <c r="R78" s="1"/>
  <c r="S78" s="1"/>
  <c r="R79" s="1"/>
  <c r="S79" s="1"/>
  <c r="R80" s="1"/>
  <c r="S80" s="1"/>
  <c r="R81" s="1"/>
  <c r="S81" s="1"/>
  <c r="R82" s="1"/>
  <c r="S82" s="1"/>
  <c r="R83" s="1"/>
  <c r="S83" s="1"/>
  <c r="R84" s="1"/>
  <c r="S84" s="1"/>
  <c r="R85" s="1"/>
  <c r="S85" s="1"/>
  <c r="R86" s="1"/>
  <c r="S86" s="1"/>
  <c r="R87" s="1"/>
  <c r="S87" s="1"/>
  <c r="Q42" s="1"/>
  <c r="T42" l="1"/>
  <c r="H87"/>
  <c r="F42" s="1"/>
  <c r="F44" s="1"/>
  <c r="I44" s="1"/>
  <c r="I42" l="1"/>
  <c r="Q44"/>
  <c r="T44" s="1"/>
</calcChain>
</file>

<file path=xl/sharedStrings.xml><?xml version="1.0" encoding="utf-8"?>
<sst xmlns="http://schemas.openxmlformats.org/spreadsheetml/2006/main" count="334" uniqueCount="174">
  <si>
    <t>Starting Salary</t>
  </si>
  <si>
    <t>Salary increase</t>
  </si>
  <si>
    <t>Investment Return</t>
  </si>
  <si>
    <t>Price Inflation</t>
  </si>
  <si>
    <t>Age</t>
  </si>
  <si>
    <t>Contribution percentage</t>
  </si>
  <si>
    <t>Final Fund Value</t>
  </si>
  <si>
    <t>Final Real Fund Value</t>
  </si>
  <si>
    <t>Salary</t>
  </si>
  <si>
    <t>Contribution</t>
  </si>
  <si>
    <t>Years to retirement</t>
  </si>
  <si>
    <t>part iv</t>
  </si>
  <si>
    <t>New Contribution Rate Required</t>
  </si>
  <si>
    <t>Investment return</t>
  </si>
  <si>
    <t>Contribution Start Age</t>
  </si>
  <si>
    <t>Contribution Rate</t>
  </si>
  <si>
    <t>Checks</t>
  </si>
  <si>
    <t>Parameters</t>
  </si>
  <si>
    <t>Audit Trail</t>
  </si>
  <si>
    <t>Purpose</t>
  </si>
  <si>
    <t>Investment Return: - The annual expected growth in the pension fund due to investment returns.</t>
  </si>
  <si>
    <t>Starting Salary: - The salary in the first projection year, on which the pension contribution is based</t>
  </si>
  <si>
    <t>Where an input differs from the main parameters, the cell is formatted with the "input" style</t>
  </si>
  <si>
    <t>input cells look like this</t>
  </si>
  <si>
    <t>Output cells look like this</t>
  </si>
  <si>
    <t>The rest of the box is where the calculations are done</t>
  </si>
  <si>
    <t>Salary - the salary is calculated as the previous year's salary, multiplied by (1 + salary increase)</t>
  </si>
  <si>
    <t>Final Real Fund Value: final fund value in today's money, calculated as:</t>
  </si>
  <si>
    <t>Final Nominal Fund Value * [ (1 + price inflation) ^ - years to retirement]</t>
  </si>
  <si>
    <t>The calculations work year-by-year, each year adding contributions and then growing the fund with investment return</t>
  </si>
  <si>
    <t>Column details:</t>
  </si>
  <si>
    <t>Contribution = contribution percentage * salary, unless the age is less than the contribution start age, when the contribution is 0</t>
  </si>
  <si>
    <t>Calculation box description &amp; methodology</t>
  </si>
  <si>
    <t>Retirement Age</t>
  </si>
  <si>
    <t>Age Contributions Start</t>
  </si>
  <si>
    <t>Current Age</t>
  </si>
  <si>
    <t>Nominal Fund Value at Retirement Age</t>
  </si>
  <si>
    <t>Column number for lookup</t>
  </si>
  <si>
    <t>validation</t>
  </si>
  <si>
    <t>Lower Investment Return</t>
  </si>
  <si>
    <t>Higher Investment Return</t>
  </si>
  <si>
    <t>Impact of Different Rates of Investment Return</t>
  </si>
  <si>
    <t>Contributions Delayed until age 35</t>
  </si>
  <si>
    <t>Contributions Delayed until age 45</t>
  </si>
  <si>
    <t>Impact of Delay in Contribution Start</t>
  </si>
  <si>
    <t>Calculation cells look like this</t>
  </si>
  <si>
    <t>The purpose of this spreadsheet is to show projected pension fund amounts for a new joiner</t>
  </si>
  <si>
    <t>The sheet allows the user to vary various parameters, please see parameter section for more details:</t>
  </si>
  <si>
    <t>These projections are intended for the presentation to new joiners to help explain how the scheme works</t>
  </si>
  <si>
    <t>These projections are not intended as any kind of guarantee or illustration of their pension fund</t>
  </si>
  <si>
    <t>Cells which can be copied down look like this  - but please see note 1 below before copying cells down</t>
  </si>
  <si>
    <t>Red for Checks</t>
  </si>
  <si>
    <t>Green for Inputs</t>
  </si>
  <si>
    <t>Blue for Calculations</t>
  </si>
  <si>
    <t>Amber for charts</t>
  </si>
  <si>
    <t>Black for auditing information (Audit trail and Version Control)</t>
  </si>
  <si>
    <t>Note 1: - copying down formulae cells</t>
  </si>
  <si>
    <t>When copying down formulae, it is important to make sure that the new cells are included in the calculations</t>
  </si>
  <si>
    <t>The best way to do so in this sheet, is to first insert the required number of rows above the last row in the range</t>
  </si>
  <si>
    <t>Then copy the formulae down over the new cells, right down to the bottom of the range</t>
  </si>
  <si>
    <t>The sheet also looks at how the required contribution rate is affected by the age at which contributions start ("Fund Calcs by Investment Return" page) by changing the starting age parameter, and adding additional calculations to work back to get a contribution rate</t>
  </si>
  <si>
    <t>Range Name for parameter</t>
  </si>
  <si>
    <t>CurrentAge</t>
  </si>
  <si>
    <t>ContStartAge</t>
  </si>
  <si>
    <t>RetirementAge</t>
  </si>
  <si>
    <t>ContRate</t>
  </si>
  <si>
    <t>StartSal</t>
  </si>
  <si>
    <t>SalInc</t>
  </si>
  <si>
    <t>InvRet</t>
  </si>
  <si>
    <t>Price Inflation: - The expected annual increase in general prices, used to used to calculate the equivalent values expressed in today's money.</t>
  </si>
  <si>
    <t>PriceInf</t>
  </si>
  <si>
    <t>Age at which Contributions Start: - This could be higher than their current age, again is assumed that contributions start on their birthday</t>
  </si>
  <si>
    <t>Contribution Percentage: - The total percentage of salary which is contributed at the start of each year, on the anniversary of joining the scheme (including contributions from all sources)</t>
  </si>
  <si>
    <t>Salary Increase: - This is the annual expected percentage increase in salary (compound), the first increase is assumed to occur exactly 1 year after joining</t>
  </si>
  <si>
    <t>The price inflation assumption does not change when investment return changes</t>
  </si>
  <si>
    <t>Below the parameters are a couple of calculations</t>
  </si>
  <si>
    <t>The first will calculate the number of years between start age and retirement age, used for the inflation calculation later on</t>
  </si>
  <si>
    <t>The other cell works out the column where the fund values are held. This is needed for the vlookup in cell F17</t>
  </si>
  <si>
    <t>The calculation currently covers 40 years, but can be extended if needed by inserting rows, then copying down the green cells.</t>
  </si>
  <si>
    <t>Final Nominal fund value - this does a vlookup on the calculation table, and pulls through the final fund value from the year before retirement age</t>
  </si>
  <si>
    <t>Fund Calcs by Investment Return</t>
  </si>
  <si>
    <t>The investment return assumption has then been changed to 2.5% and 7% respectively</t>
  </si>
  <si>
    <t>Fund Calcs by Cont Start Age</t>
  </si>
  <si>
    <t>The contribution start ages were then changed to 35 and 35 respectively</t>
  </si>
  <si>
    <t>There are then new calculations to calculate the new contribution rate. (rows 21 to 25)</t>
  </si>
  <si>
    <t>Row 23 calculates the final fund value as a proportion of the fund value in case 1</t>
  </si>
  <si>
    <t>Row 2 uses this proportion to increase the starting contribution:</t>
  </si>
  <si>
    <t>Charts</t>
  </si>
  <si>
    <t>This page combines data from the three calcs pages and plots charts</t>
  </si>
  <si>
    <t>Final Fund Value In Today's Money with Different Investment Returns</t>
  </si>
  <si>
    <t>This column chart plots the real fund value with the following return parameters:</t>
  </si>
  <si>
    <t>return = 7% (from Fund Calcs by Investment Return page)</t>
  </si>
  <si>
    <t>return = 2.5% (from Fund Calcs by Investment Return page)</t>
  </si>
  <si>
    <t>The Contribution Rate Required to Produce Equal Funds with varying Contribution Starting Age chart shows the required contribution rate in these circumstances:</t>
  </si>
  <si>
    <t>Contributions start age 35 (from Fund Calcs by Cont Start Age page)</t>
  </si>
  <si>
    <t>Contributions start age 45  (from Fund Calcs by Cont Start Age page)</t>
  </si>
  <si>
    <t>Contribution Start age - check the new rate results in correct fund value</t>
  </si>
  <si>
    <t>Expected values</t>
  </si>
  <si>
    <t>ok?</t>
  </si>
  <si>
    <t>Parameter overrides</t>
  </si>
  <si>
    <t>Expected</t>
  </si>
  <si>
    <t>Actual</t>
  </si>
  <si>
    <t>Check Contribution increases each year (if e &gt; 0)</t>
  </si>
  <si>
    <t>Check fund grows each year</t>
  </si>
  <si>
    <t>Is contribution less than previous year's contribution?</t>
  </si>
  <si>
    <t>Check fund value grows each year</t>
  </si>
  <si>
    <t>Check real fund value &lt; nominal fund value</t>
  </si>
  <si>
    <t>Low Investment return</t>
  </si>
  <si>
    <t>High investment return</t>
  </si>
  <si>
    <t>Contributions starting at 35</t>
  </si>
  <si>
    <t>Contributions starting at 45</t>
  </si>
  <si>
    <t>Auto-checks</t>
  </si>
  <si>
    <t>Check real fund value= &lt; nominal fund value</t>
  </si>
  <si>
    <t>Check real fund value =&lt; nominal fund value</t>
  </si>
  <si>
    <t>Low return</t>
  </si>
  <si>
    <t>High return</t>
  </si>
  <si>
    <t>Auto checks</t>
  </si>
  <si>
    <t>Manual checks performed</t>
  </si>
  <si>
    <t>Set investment return to 0%, and check the final nominal fund value = sum of the contributions</t>
  </si>
  <si>
    <t>set price inflation to 0% and check the real fund value = nominal fund value</t>
  </si>
  <si>
    <t>set contribution rate to 100% and check salary = contribution rate</t>
  </si>
  <si>
    <t>set salary inflation to 0% and check contributions don't increase</t>
  </si>
  <si>
    <t>The automatic checks (and data validations) on each page are collated here for easy checking</t>
  </si>
  <si>
    <t>Details of manual checks are listed here</t>
  </si>
  <si>
    <t>Automatic checks</t>
  </si>
  <si>
    <t>Columns J:P perform automatic checks on the calculations</t>
  </si>
  <si>
    <t>Check the contribution is increasing each year</t>
  </si>
  <si>
    <t>The automatic checks have been added to the right of the calculations</t>
  </si>
  <si>
    <t>There is a projection with the parameter values (the "Base Scenario"), shown in the "Base Scenario Fund Calcs" page</t>
  </si>
  <si>
    <t>The sheet looks at how the projected fund value is affected by Investment Return ("Fund Calcs by Cont Start Age" page) by changing the Investment Return parameter</t>
  </si>
  <si>
    <t>Current Age: - The age of the new joiner today - as a simplifying assumption, the joiner is assumed to join on their birthday</t>
  </si>
  <si>
    <t>Base Scenario Fund Calcs</t>
  </si>
  <si>
    <t>Simplifying assumptions used:</t>
  </si>
  <si>
    <t>There are data validation checks in cells G6 - G13, that check whether these cells match the parameter values</t>
  </si>
  <si>
    <t>The calculation boxes on this page are a direct copy of those from the Base Scenario Fund Calcs page</t>
  </si>
  <si>
    <t>As a simplifying assumption, the price inflation (and other parameters) are assumed to not be affected by investment return</t>
  </si>
  <si>
    <t>Then works out the retirement rate as a proportion of the fund value in the base scenario</t>
  </si>
  <si>
    <t>return = 5%  (from the Base Scenario Fund Calcs page)</t>
  </si>
  <si>
    <t>Contributions start age 25 (from the Base Scenario Fund Calcs page)</t>
  </si>
  <si>
    <t>Check of the approach to calculate the investment return in Fund Calcs by Cont Start Age page, by copying the main scenario into the checks page. Then change the contribution start rate and with the contribution rate calculated for that contribution start age. Then check the outputted fund value matches (to within 8dp) that from the base scenario</t>
  </si>
  <si>
    <t>Tab colours indicate the purpose of a page:</t>
  </si>
  <si>
    <t>This page performs calculations to calculate the fund value, in the Base Scenario (the one which uses the parameter values with no overrides)</t>
  </si>
  <si>
    <t>These match those on the parameters page</t>
  </si>
  <si>
    <t>There is also validation that the retirement date is included in the table below. If the retirement date is after the age range in the calculation table, cell G8 will show a warning. If this is the case, then the page, and the formulae will need to be extended</t>
  </si>
  <si>
    <t>The calculation boxes on this page started as a direct copy of those from the parameters page</t>
  </si>
  <si>
    <t>The page pulls through the calculations from the base scenario</t>
  </si>
  <si>
    <t>Conventions in this spreadsheet</t>
  </si>
  <si>
    <t>Base scenario</t>
  </si>
  <si>
    <t>Check of Contribution at age 64</t>
  </si>
  <si>
    <t>Check the contribution in the final year is consistent with the parameters (check is  equal to (1+e)^years to retirement</t>
  </si>
  <si>
    <t>This page is the input page for the main parameters used for the model. In detail, these parameters are detailed below:</t>
  </si>
  <si>
    <t>Main Scenario - all inputs match the parameters</t>
  </si>
  <si>
    <t>Base scenario, question parts iii &amp; iv</t>
  </si>
  <si>
    <t>Fund Value in Base Scenario</t>
  </si>
  <si>
    <t>Final Real Fund Value as a multiple of Base Scenario</t>
  </si>
  <si>
    <t>Data validation information and checks look like this</t>
  </si>
  <si>
    <t>The parameters used in the calculation sit at the top of the box (rows 6-13)</t>
  </si>
  <si>
    <t>If the new case (with delayed contributions) gives a fund value that is x% of case 1, then the contribution rate needed to get the same final fund value will be initial contribution rate / x%</t>
  </si>
  <si>
    <t>part v(a)</t>
  </si>
  <si>
    <t>part v(b)</t>
  </si>
  <si>
    <t>part vi(a)</t>
  </si>
  <si>
    <t>part vi(b)</t>
  </si>
  <si>
    <t>part vii</t>
  </si>
  <si>
    <t>Contributions after growth</t>
  </si>
  <si>
    <t>Previous year's fund, plus growth</t>
  </si>
  <si>
    <t>The joiner joins, retires,  and gets a salary increase on their birthday</t>
  </si>
  <si>
    <t>All contributions occur half way through the year</t>
  </si>
  <si>
    <t>Previous year's fund, plus growth = last year's "fund after growth" * (1+investment return)</t>
  </si>
  <si>
    <t>Fund after growth = "contributions after growth" + "Previous year's fund, plus growth"</t>
  </si>
  <si>
    <t>Contributions after growth = contribution * [(1+investment return) ^(1/2) ]</t>
  </si>
  <si>
    <t>Fund after contributions and growth</t>
  </si>
  <si>
    <t>Retirement Age: - the age at which they take their pension fund. They are assumed to retire on their birthday, so the fund value at retirement date is the fund value at the end of the previous year</t>
  </si>
  <si>
    <t xml:space="preserve">Below the parameter box is the output box: </t>
  </si>
  <si>
    <t>Check the fund value is increasing each year</t>
  </si>
</sst>
</file>

<file path=xl/styles.xml><?xml version="1.0" encoding="utf-8"?>
<styleSheet xmlns="http://schemas.openxmlformats.org/spreadsheetml/2006/main">
  <numFmts count="3">
    <numFmt numFmtId="43" formatCode="_-* #,##0.00_-;\-* #,##0.00_-;_-* &quot;-&quot;??_-;_-@_-"/>
    <numFmt numFmtId="164" formatCode="0.0%"/>
    <numFmt numFmtId="165" formatCode="_-* #,##0_-;\-* #,##0_-;_-* &quot;-&quot;??_-;_-@_-"/>
  </numFmts>
  <fonts count="16">
    <font>
      <sz val="11"/>
      <color theme="1"/>
      <name val="Calibri"/>
      <family val="2"/>
      <scheme val="minor"/>
    </font>
    <font>
      <sz val="11"/>
      <color indexed="8"/>
      <name val="Calibri"/>
      <family val="2"/>
    </font>
    <font>
      <sz val="11"/>
      <color indexed="62"/>
      <name val="Calibri"/>
      <family val="2"/>
    </font>
    <font>
      <b/>
      <sz val="11"/>
      <color indexed="8"/>
      <name val="Calibri"/>
      <family val="2"/>
    </font>
    <font>
      <i/>
      <sz val="10"/>
      <color indexed="28"/>
      <name val="Calibri"/>
      <family val="2"/>
    </font>
    <font>
      <sz val="8"/>
      <name val="Calibri"/>
      <family val="2"/>
    </font>
    <font>
      <b/>
      <sz val="15"/>
      <color theme="3"/>
      <name val="Calibri"/>
      <family val="2"/>
      <scheme val="minor"/>
    </font>
    <font>
      <b/>
      <sz val="11"/>
      <color theme="3"/>
      <name val="Calibri"/>
      <family val="2"/>
      <scheme val="minor"/>
    </font>
    <font>
      <sz val="11"/>
      <color rgb="FF3F3F76"/>
      <name val="Calibri"/>
      <family val="2"/>
      <scheme val="minor"/>
    </font>
    <font>
      <sz val="11"/>
      <color theme="1"/>
      <name val="Calibri"/>
      <family val="2"/>
      <scheme val="minor"/>
    </font>
    <font>
      <b/>
      <sz val="18"/>
      <color theme="3"/>
      <name val="Cambria"/>
      <family val="2"/>
      <scheme val="major"/>
    </font>
    <font>
      <i/>
      <sz val="11"/>
      <color rgb="FF7F7F7F"/>
      <name val="Calibri"/>
      <family val="2"/>
      <scheme val="minor"/>
    </font>
    <font>
      <b/>
      <sz val="11"/>
      <color theme="1"/>
      <name val="Calibri"/>
      <family val="2"/>
      <scheme val="minor"/>
    </font>
    <font>
      <i/>
      <sz val="11"/>
      <color rgb="FFC00000"/>
      <name val="Calibri"/>
      <family val="2"/>
      <scheme val="minor"/>
    </font>
    <font>
      <sz val="10"/>
      <name val="Arial"/>
      <family val="2"/>
    </font>
    <font>
      <i/>
      <sz val="11"/>
      <color theme="7" tint="-0.499984740745262"/>
      <name val="Calibri"/>
      <family val="2"/>
      <scheme val="minor"/>
    </font>
  </fonts>
  <fills count="7">
    <fill>
      <patternFill patternType="none"/>
    </fill>
    <fill>
      <patternFill patternType="gray125"/>
    </fill>
    <fill>
      <patternFill patternType="solid">
        <fgColor indexed="47"/>
      </patternFill>
    </fill>
    <fill>
      <patternFill patternType="solid">
        <fgColor rgb="FFFFCC99"/>
      </patternFill>
    </fill>
    <fill>
      <patternFill patternType="solid">
        <fgColor theme="6" tint="0.79998168889431442"/>
        <bgColor indexed="65"/>
      </patternFill>
    </fill>
    <fill>
      <patternFill patternType="solid">
        <fgColor theme="7" tint="0.79998168889431442"/>
        <bgColor indexed="65"/>
      </patternFill>
    </fill>
    <fill>
      <patternFill patternType="solid">
        <fgColor theme="7"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36"/>
      </left>
      <right/>
      <top style="thin">
        <color indexed="36"/>
      </top>
      <bottom/>
      <diagonal/>
    </border>
    <border>
      <left/>
      <right/>
      <top style="thin">
        <color indexed="36"/>
      </top>
      <bottom/>
      <diagonal/>
    </border>
    <border>
      <left/>
      <right style="thin">
        <color indexed="36"/>
      </right>
      <top style="thin">
        <color indexed="36"/>
      </top>
      <bottom/>
      <diagonal/>
    </border>
    <border>
      <left style="thin">
        <color indexed="36"/>
      </left>
      <right/>
      <top/>
      <bottom/>
      <diagonal/>
    </border>
    <border>
      <left/>
      <right style="thin">
        <color indexed="36"/>
      </right>
      <top/>
      <bottom/>
      <diagonal/>
    </border>
    <border>
      <left style="thin">
        <color indexed="36"/>
      </left>
      <right/>
      <top/>
      <bottom style="thin">
        <color indexed="36"/>
      </bottom>
      <diagonal/>
    </border>
    <border>
      <left/>
      <right/>
      <top/>
      <bottom style="thin">
        <color indexed="36"/>
      </bottom>
      <diagonal/>
    </border>
    <border>
      <left/>
      <right style="thin">
        <color indexed="36"/>
      </right>
      <top/>
      <bottom style="thin">
        <color indexed="36"/>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0" fontId="6" fillId="0" borderId="11" applyNumberFormat="0" applyFill="0" applyAlignment="0" applyProtection="0"/>
    <xf numFmtId="0" fontId="7" fillId="0" borderId="0" applyNumberFormat="0" applyFill="0" applyBorder="0" applyAlignment="0" applyProtection="0"/>
    <xf numFmtId="0" fontId="8" fillId="3" borderId="10" applyNumberFormat="0" applyAlignment="0" applyProtection="0"/>
    <xf numFmtId="9"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4" borderId="0" applyNumberFormat="0" applyBorder="0" applyAlignment="0" applyProtection="0"/>
    <xf numFmtId="0" fontId="9" fillId="5" borderId="0" applyNumberFormat="0" applyBorder="0" applyAlignment="0" applyProtection="0"/>
    <xf numFmtId="0" fontId="14" fillId="0" borderId="0"/>
  </cellStyleXfs>
  <cellXfs count="143">
    <xf numFmtId="0" fontId="0" fillId="0" borderId="0" xfId="0"/>
    <xf numFmtId="0" fontId="8" fillId="3" borderId="10" xfId="4"/>
    <xf numFmtId="164" fontId="2" fillId="2" borderId="1" xfId="5" applyNumberFormat="1" applyFont="1" applyFill="1" applyBorder="1"/>
    <xf numFmtId="0" fontId="6" fillId="0" borderId="11" xfId="2"/>
    <xf numFmtId="0" fontId="6" fillId="0" borderId="11" xfId="2" applyAlignment="1">
      <alignment wrapText="1"/>
    </xf>
    <xf numFmtId="0" fontId="0" fillId="0" borderId="0" xfId="0" applyAlignment="1">
      <alignment wrapText="1"/>
    </xf>
    <xf numFmtId="0" fontId="8" fillId="3" borderId="10" xfId="4" applyAlignment="1">
      <alignment wrapText="1"/>
    </xf>
    <xf numFmtId="0" fontId="7" fillId="0" borderId="0" xfId="3"/>
    <xf numFmtId="0" fontId="0" fillId="0" borderId="0" xfId="0" applyAlignment="1">
      <alignment horizontal="center" wrapText="1"/>
    </xf>
    <xf numFmtId="0" fontId="3" fillId="0" borderId="0" xfId="0" applyFont="1"/>
    <xf numFmtId="0" fontId="0" fillId="6" borderId="2" xfId="0" applyFill="1" applyBorder="1"/>
    <xf numFmtId="0" fontId="0" fillId="6" borderId="3" xfId="0" applyFill="1" applyBorder="1"/>
    <xf numFmtId="0" fontId="0" fillId="6" borderId="4" xfId="0" applyFill="1" applyBorder="1"/>
    <xf numFmtId="0" fontId="3" fillId="6" borderId="5" xfId="0" applyFont="1" applyFill="1" applyBorder="1"/>
    <xf numFmtId="0" fontId="6" fillId="6" borderId="11" xfId="2" applyFill="1"/>
    <xf numFmtId="0" fontId="3" fillId="6" borderId="6" xfId="0" applyFont="1" applyFill="1" applyBorder="1"/>
    <xf numFmtId="0" fontId="0" fillId="6" borderId="5" xfId="0" applyFill="1" applyBorder="1"/>
    <xf numFmtId="0" fontId="0" fillId="6" borderId="0" xfId="0" applyFill="1" applyBorder="1"/>
    <xf numFmtId="0" fontId="0" fillId="6" borderId="6" xfId="0" applyFill="1" applyBorder="1"/>
    <xf numFmtId="0" fontId="0" fillId="6" borderId="0" xfId="0" applyFill="1" applyBorder="1" applyAlignment="1">
      <alignment horizontal="right"/>
    </xf>
    <xf numFmtId="0" fontId="0" fillId="6" borderId="7" xfId="0" applyFill="1" applyBorder="1"/>
    <xf numFmtId="0" fontId="0" fillId="6" borderId="9" xfId="0" applyFill="1" applyBorder="1"/>
    <xf numFmtId="0" fontId="0" fillId="6" borderId="5" xfId="0" applyFill="1" applyBorder="1" applyAlignment="1">
      <alignment wrapText="1"/>
    </xf>
    <xf numFmtId="0" fontId="0" fillId="6" borderId="0" xfId="0" applyFill="1" applyBorder="1" applyAlignment="1">
      <alignment wrapText="1"/>
    </xf>
    <xf numFmtId="0" fontId="3" fillId="6" borderId="2" xfId="0" applyFont="1" applyFill="1" applyBorder="1" applyAlignment="1">
      <alignment wrapText="1"/>
    </xf>
    <xf numFmtId="0" fontId="3" fillId="6" borderId="3" xfId="0" applyFont="1" applyFill="1" applyBorder="1" applyAlignment="1">
      <alignment horizontal="right" wrapText="1"/>
    </xf>
    <xf numFmtId="43" fontId="3" fillId="6" borderId="4" xfId="0" applyNumberFormat="1" applyFont="1" applyFill="1" applyBorder="1" applyAlignment="1">
      <alignment wrapText="1"/>
    </xf>
    <xf numFmtId="0" fontId="4" fillId="6" borderId="0" xfId="0" applyFont="1" applyFill="1" applyBorder="1" applyAlignment="1">
      <alignment wrapText="1"/>
    </xf>
    <xf numFmtId="0" fontId="0" fillId="6" borderId="6" xfId="0" applyFill="1" applyBorder="1" applyAlignment="1">
      <alignment wrapText="1"/>
    </xf>
    <xf numFmtId="0" fontId="3" fillId="6" borderId="7" xfId="0" applyFont="1" applyFill="1" applyBorder="1" applyAlignment="1">
      <alignment wrapText="1"/>
    </xf>
    <xf numFmtId="0" fontId="3" fillId="6" borderId="8" xfId="0" applyFont="1" applyFill="1" applyBorder="1" applyAlignment="1">
      <alignment horizontal="right" wrapText="1"/>
    </xf>
    <xf numFmtId="43" fontId="3" fillId="6" borderId="9" xfId="1" applyFont="1" applyFill="1" applyBorder="1" applyAlignment="1">
      <alignment wrapText="1"/>
    </xf>
    <xf numFmtId="43" fontId="0" fillId="6" borderId="0" xfId="0" applyNumberFormat="1" applyFill="1" applyBorder="1"/>
    <xf numFmtId="0" fontId="0" fillId="6" borderId="5" xfId="0" applyFill="1" applyBorder="1" applyAlignment="1">
      <alignment horizontal="center" wrapText="1"/>
    </xf>
    <xf numFmtId="0" fontId="0" fillId="6" borderId="6" xfId="0" applyFill="1" applyBorder="1" applyAlignment="1">
      <alignment horizontal="center" wrapText="1"/>
    </xf>
    <xf numFmtId="0" fontId="0" fillId="6" borderId="8" xfId="0" applyFill="1" applyBorder="1"/>
    <xf numFmtId="0" fontId="0" fillId="6" borderId="13" xfId="0" applyFill="1" applyBorder="1"/>
    <xf numFmtId="0" fontId="0" fillId="6" borderId="14" xfId="0" applyFill="1" applyBorder="1" applyAlignment="1">
      <alignment horizontal="right"/>
    </xf>
    <xf numFmtId="0" fontId="0" fillId="6" borderId="15" xfId="0" applyFill="1" applyBorder="1"/>
    <xf numFmtId="0" fontId="0" fillId="6" borderId="16" xfId="0" applyFill="1" applyBorder="1"/>
    <xf numFmtId="0" fontId="0" fillId="6" borderId="17" xfId="0" applyFill="1" applyBorder="1"/>
    <xf numFmtId="164" fontId="0" fillId="6" borderId="17" xfId="5" applyNumberFormat="1" applyFont="1" applyFill="1" applyBorder="1"/>
    <xf numFmtId="43" fontId="0" fillId="6" borderId="17" xfId="1" applyFont="1" applyFill="1" applyBorder="1"/>
    <xf numFmtId="0" fontId="0" fillId="6" borderId="18" xfId="0" applyFill="1" applyBorder="1"/>
    <xf numFmtId="0" fontId="0" fillId="6" borderId="19" xfId="0" applyFill="1" applyBorder="1" applyAlignment="1">
      <alignment horizontal="right"/>
    </xf>
    <xf numFmtId="0" fontId="0" fillId="6" borderId="20" xfId="0" applyFill="1" applyBorder="1"/>
    <xf numFmtId="0" fontId="11" fillId="6" borderId="0" xfId="7" applyFill="1" applyBorder="1"/>
    <xf numFmtId="0" fontId="9" fillId="5" borderId="0" xfId="9" applyBorder="1"/>
    <xf numFmtId="43" fontId="9" fillId="5" borderId="0" xfId="9" applyNumberFormat="1" applyBorder="1"/>
    <xf numFmtId="43" fontId="8" fillId="3" borderId="10" xfId="4" applyNumberFormat="1"/>
    <xf numFmtId="43" fontId="9" fillId="4" borderId="0" xfId="8" applyNumberFormat="1" applyBorder="1"/>
    <xf numFmtId="0" fontId="9" fillId="5" borderId="0" xfId="9" applyBorder="1" applyAlignment="1">
      <alignment horizontal="center" wrapText="1"/>
    </xf>
    <xf numFmtId="0" fontId="12" fillId="5" borderId="0" xfId="9" applyFont="1" applyBorder="1" applyAlignment="1">
      <alignment horizontal="center" wrapText="1"/>
    </xf>
    <xf numFmtId="0" fontId="12" fillId="5" borderId="0" xfId="9" applyFont="1" applyBorder="1"/>
    <xf numFmtId="0" fontId="12" fillId="4" borderId="0" xfId="8" applyFont="1" applyBorder="1"/>
    <xf numFmtId="0" fontId="13" fillId="6" borderId="0" xfId="7" applyFont="1" applyFill="1" applyBorder="1"/>
    <xf numFmtId="0" fontId="0" fillId="6" borderId="16" xfId="0" applyFill="1" applyBorder="1" applyAlignment="1">
      <alignment wrapText="1"/>
    </xf>
    <xf numFmtId="0" fontId="0" fillId="6" borderId="17" xfId="0" applyFill="1" applyBorder="1" applyAlignment="1">
      <alignment wrapText="1"/>
    </xf>
    <xf numFmtId="0" fontId="9" fillId="5" borderId="5" xfId="9" applyBorder="1" applyAlignment="1">
      <alignment wrapText="1"/>
    </xf>
    <xf numFmtId="0" fontId="9" fillId="5" borderId="13" xfId="9" applyBorder="1" applyAlignment="1">
      <alignment wrapText="1"/>
    </xf>
    <xf numFmtId="0" fontId="9" fillId="5" borderId="14" xfId="9" applyBorder="1" applyAlignment="1">
      <alignment wrapText="1"/>
    </xf>
    <xf numFmtId="0" fontId="9" fillId="5" borderId="14" xfId="9" applyBorder="1" applyAlignment="1">
      <alignment horizontal="right" wrapText="1"/>
    </xf>
    <xf numFmtId="43" fontId="9" fillId="5" borderId="15" xfId="9" applyNumberFormat="1" applyBorder="1" applyAlignment="1">
      <alignment wrapText="1"/>
    </xf>
    <xf numFmtId="0" fontId="9" fillId="5" borderId="0" xfId="9" applyBorder="1" applyAlignment="1">
      <alignment wrapText="1"/>
    </xf>
    <xf numFmtId="0" fontId="9" fillId="5" borderId="6" xfId="9" applyBorder="1" applyAlignment="1">
      <alignment wrapText="1"/>
    </xf>
    <xf numFmtId="0" fontId="9" fillId="5" borderId="16" xfId="9" applyBorder="1" applyAlignment="1">
      <alignment wrapText="1"/>
    </xf>
    <xf numFmtId="0" fontId="9" fillId="5" borderId="17" xfId="9" applyBorder="1" applyAlignment="1">
      <alignment wrapText="1"/>
    </xf>
    <xf numFmtId="0" fontId="9" fillId="5" borderId="0" xfId="9" applyBorder="1" applyAlignment="1">
      <alignment horizontal="right" wrapText="1"/>
    </xf>
    <xf numFmtId="43" fontId="9" fillId="5" borderId="17" xfId="9" applyNumberFormat="1" applyBorder="1" applyAlignment="1">
      <alignment wrapText="1"/>
    </xf>
    <xf numFmtId="0" fontId="9" fillId="5" borderId="5" xfId="9" applyBorder="1"/>
    <xf numFmtId="0" fontId="9" fillId="5" borderId="16" xfId="9" applyBorder="1"/>
    <xf numFmtId="0" fontId="9" fillId="5" borderId="17" xfId="9" applyBorder="1"/>
    <xf numFmtId="0" fontId="9" fillId="5" borderId="6" xfId="9" applyBorder="1"/>
    <xf numFmtId="43" fontId="9" fillId="5" borderId="17" xfId="9" applyNumberFormat="1" applyBorder="1"/>
    <xf numFmtId="0" fontId="9" fillId="5" borderId="16" xfId="9" applyBorder="1" applyAlignment="1">
      <alignment horizontal="center" wrapText="1"/>
    </xf>
    <xf numFmtId="0" fontId="9" fillId="5" borderId="17" xfId="9" applyBorder="1" applyAlignment="1">
      <alignment horizontal="center" wrapText="1"/>
    </xf>
    <xf numFmtId="0" fontId="9" fillId="5" borderId="0" xfId="9" applyBorder="1" applyAlignment="1"/>
    <xf numFmtId="0" fontId="9" fillId="5" borderId="0" xfId="9" applyBorder="1" applyAlignment="1">
      <alignment horizontal="right"/>
    </xf>
    <xf numFmtId="10" fontId="9" fillId="5" borderId="17" xfId="9" applyNumberFormat="1" applyBorder="1"/>
    <xf numFmtId="0" fontId="9" fillId="5" borderId="18" xfId="9" applyBorder="1"/>
    <xf numFmtId="0" fontId="9" fillId="5" borderId="19" xfId="9" applyBorder="1"/>
    <xf numFmtId="0" fontId="9" fillId="5" borderId="20" xfId="9" applyBorder="1"/>
    <xf numFmtId="0" fontId="10" fillId="0" borderId="11" xfId="6" applyBorder="1"/>
    <xf numFmtId="0" fontId="9" fillId="5" borderId="2" xfId="9" applyBorder="1"/>
    <xf numFmtId="0" fontId="9" fillId="5" borderId="3" xfId="9" applyBorder="1"/>
    <xf numFmtId="0" fontId="9" fillId="5" borderId="4" xfId="9" applyBorder="1"/>
    <xf numFmtId="0" fontId="9" fillId="5" borderId="8" xfId="9" applyBorder="1"/>
    <xf numFmtId="0" fontId="9" fillId="5" borderId="7" xfId="9" applyBorder="1"/>
    <xf numFmtId="0" fontId="9" fillId="5" borderId="9" xfId="9" applyBorder="1"/>
    <xf numFmtId="164" fontId="8" fillId="3" borderId="10" xfId="4" applyNumberFormat="1"/>
    <xf numFmtId="0" fontId="0" fillId="5" borderId="0" xfId="9" applyFont="1" applyBorder="1" applyAlignment="1">
      <alignment horizontal="right"/>
    </xf>
    <xf numFmtId="0" fontId="9" fillId="5" borderId="2" xfId="9" applyBorder="1" applyAlignment="1">
      <alignment wrapText="1"/>
    </xf>
    <xf numFmtId="0" fontId="9" fillId="5" borderId="4" xfId="9" applyBorder="1" applyAlignment="1">
      <alignment wrapText="1"/>
    </xf>
    <xf numFmtId="164" fontId="9" fillId="5" borderId="5" xfId="9" applyNumberFormat="1" applyBorder="1"/>
    <xf numFmtId="165" fontId="9" fillId="5" borderId="6" xfId="9" applyNumberFormat="1" applyBorder="1"/>
    <xf numFmtId="164" fontId="9" fillId="5" borderId="7" xfId="9" applyNumberFormat="1" applyBorder="1"/>
    <xf numFmtId="165" fontId="9" fillId="5" borderId="9" xfId="9" applyNumberFormat="1" applyBorder="1"/>
    <xf numFmtId="164" fontId="9" fillId="5" borderId="6" xfId="9" applyNumberFormat="1" applyBorder="1"/>
    <xf numFmtId="164" fontId="9" fillId="5" borderId="9" xfId="9" applyNumberFormat="1" applyBorder="1"/>
    <xf numFmtId="0" fontId="6" fillId="5" borderId="11" xfId="2" applyFill="1"/>
    <xf numFmtId="0" fontId="3" fillId="6" borderId="12" xfId="0" applyFont="1" applyFill="1" applyBorder="1" applyAlignment="1">
      <alignment horizontal="left" wrapText="1"/>
    </xf>
    <xf numFmtId="0" fontId="1" fillId="6" borderId="12" xfId="0" applyFont="1" applyFill="1" applyBorder="1" applyAlignment="1">
      <alignment horizontal="left" wrapText="1"/>
    </xf>
    <xf numFmtId="0" fontId="0" fillId="4" borderId="12" xfId="8" applyFont="1" applyBorder="1" applyAlignment="1">
      <alignment horizontal="left" wrapText="1"/>
    </xf>
    <xf numFmtId="0" fontId="12" fillId="0" borderId="0" xfId="0" applyFont="1" applyAlignment="1">
      <alignment wrapText="1"/>
    </xf>
    <xf numFmtId="43" fontId="4" fillId="6" borderId="0" xfId="0" applyNumberFormat="1" applyFont="1" applyFill="1" applyBorder="1" applyAlignment="1">
      <alignment wrapText="1"/>
    </xf>
    <xf numFmtId="43" fontId="13" fillId="6" borderId="0" xfId="7" applyNumberFormat="1" applyFont="1" applyFill="1" applyBorder="1"/>
    <xf numFmtId="0" fontId="13" fillId="6" borderId="17" xfId="7" applyFont="1" applyFill="1" applyBorder="1"/>
    <xf numFmtId="0" fontId="10" fillId="0" borderId="0" xfId="6" applyBorder="1"/>
    <xf numFmtId="0" fontId="6" fillId="0" borderId="0" xfId="2" applyBorder="1"/>
    <xf numFmtId="0" fontId="0" fillId="0" borderId="0" xfId="0" applyBorder="1"/>
    <xf numFmtId="0" fontId="0" fillId="6" borderId="0" xfId="0" applyFill="1"/>
    <xf numFmtId="0" fontId="0" fillId="6" borderId="14" xfId="0" applyFill="1" applyBorder="1"/>
    <xf numFmtId="0" fontId="3" fillId="6" borderId="16" xfId="0" applyFont="1" applyFill="1" applyBorder="1"/>
    <xf numFmtId="0" fontId="3" fillId="6" borderId="17" xfId="0" applyFont="1" applyFill="1" applyBorder="1"/>
    <xf numFmtId="0" fontId="0" fillId="6" borderId="16" xfId="0" applyFill="1" applyBorder="1" applyAlignment="1">
      <alignment horizontal="center" wrapText="1"/>
    </xf>
    <xf numFmtId="0" fontId="0" fillId="6" borderId="0" xfId="0" applyFill="1" applyBorder="1" applyAlignment="1">
      <alignment horizontal="center" wrapText="1"/>
    </xf>
    <xf numFmtId="0" fontId="0" fillId="6" borderId="17" xfId="0" applyFill="1" applyBorder="1" applyAlignment="1">
      <alignment horizontal="center" wrapText="1"/>
    </xf>
    <xf numFmtId="0" fontId="0" fillId="6" borderId="19" xfId="0" applyFill="1" applyBorder="1"/>
    <xf numFmtId="0" fontId="11" fillId="6" borderId="13" xfId="7" applyFill="1" applyBorder="1"/>
    <xf numFmtId="0" fontId="11" fillId="6" borderId="14" xfId="7" applyFill="1" applyBorder="1"/>
    <xf numFmtId="0" fontId="11" fillId="6" borderId="15" xfId="7" applyFill="1" applyBorder="1"/>
    <xf numFmtId="0" fontId="11" fillId="6" borderId="16" xfId="7" applyFill="1" applyBorder="1"/>
    <xf numFmtId="0" fontId="11" fillId="6" borderId="17" xfId="7" applyFill="1" applyBorder="1"/>
    <xf numFmtId="0" fontId="13" fillId="6" borderId="16" xfId="7" applyFont="1" applyFill="1" applyBorder="1"/>
    <xf numFmtId="0" fontId="13" fillId="6" borderId="18" xfId="7" applyFont="1" applyFill="1" applyBorder="1"/>
    <xf numFmtId="0" fontId="13" fillId="6" borderId="19" xfId="7" applyFont="1" applyFill="1" applyBorder="1"/>
    <xf numFmtId="0" fontId="13" fillId="6" borderId="20" xfId="7" applyFont="1" applyFill="1" applyBorder="1"/>
    <xf numFmtId="0" fontId="6" fillId="6" borderId="0" xfId="2" applyFill="1" applyBorder="1"/>
    <xf numFmtId="0" fontId="6" fillId="6" borderId="0" xfId="2" applyFill="1" applyBorder="1" applyAlignment="1">
      <alignment wrapText="1"/>
    </xf>
    <xf numFmtId="0" fontId="10" fillId="6" borderId="13" xfId="6" applyFill="1" applyBorder="1"/>
    <xf numFmtId="0" fontId="6" fillId="6" borderId="14" xfId="2" applyFill="1" applyBorder="1"/>
    <xf numFmtId="0" fontId="10" fillId="6" borderId="16" xfId="6" applyFill="1" applyBorder="1"/>
    <xf numFmtId="0" fontId="6" fillId="6" borderId="17" xfId="2" applyFill="1" applyBorder="1" applyAlignment="1">
      <alignment wrapText="1"/>
    </xf>
    <xf numFmtId="0" fontId="10" fillId="6" borderId="18" xfId="6" applyFill="1" applyBorder="1"/>
    <xf numFmtId="0" fontId="6" fillId="6" borderId="19" xfId="2" applyFill="1" applyBorder="1"/>
    <xf numFmtId="0" fontId="6" fillId="0" borderId="0" xfId="2" applyBorder="1" applyAlignment="1">
      <alignment horizontal="right"/>
    </xf>
    <xf numFmtId="0" fontId="15" fillId="6" borderId="0" xfId="7" applyFont="1" applyFill="1" applyBorder="1"/>
    <xf numFmtId="0" fontId="13" fillId="6" borderId="0" xfId="7" applyFont="1" applyFill="1" applyBorder="1" applyAlignment="1">
      <alignment wrapText="1"/>
    </xf>
    <xf numFmtId="0" fontId="13" fillId="6" borderId="17" xfId="7" applyFont="1" applyFill="1" applyBorder="1" applyAlignment="1">
      <alignment wrapText="1"/>
    </xf>
    <xf numFmtId="0" fontId="13" fillId="6" borderId="19" xfId="7" applyFont="1" applyFill="1" applyBorder="1" applyAlignment="1">
      <alignment wrapText="1"/>
    </xf>
    <xf numFmtId="0" fontId="13" fillId="6" borderId="20" xfId="7" applyFont="1" applyFill="1" applyBorder="1" applyAlignment="1">
      <alignment wrapText="1"/>
    </xf>
    <xf numFmtId="0" fontId="0" fillId="5" borderId="16" xfId="9" applyFont="1" applyBorder="1" applyAlignment="1">
      <alignment horizontal="right"/>
    </xf>
    <xf numFmtId="0" fontId="0" fillId="5" borderId="0" xfId="9" applyFont="1" applyBorder="1" applyAlignment="1">
      <alignment horizontal="right"/>
    </xf>
  </cellXfs>
  <cellStyles count="11">
    <cellStyle name="20% - Accent3" xfId="8" builtinId="38"/>
    <cellStyle name="20% - Accent4" xfId="9" builtinId="42"/>
    <cellStyle name="Comma" xfId="1" builtinId="3"/>
    <cellStyle name="Explanatory Text" xfId="7" builtinId="53"/>
    <cellStyle name="Heading 1" xfId="2" builtinId="16"/>
    <cellStyle name="Heading 4" xfId="3" builtinId="19"/>
    <cellStyle name="Input" xfId="4" builtinId="20"/>
    <cellStyle name="Normal" xfId="0" builtinId="0"/>
    <cellStyle name="Normal 2" xfId="10"/>
    <cellStyle name="Percent" xfId="5" builtinId="5"/>
    <cellStyle name="Title" xfId="6" builtinId="15"/>
  </cellStyles>
  <dxfs count="0"/>
  <tableStyles count="0" defaultTableStyle="TableStyleMedium2" defaultPivotStyle="PivotStyleLight16"/>
  <colors>
    <mruColors>
      <color rgb="FFD797C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400"/>
              <a:t>Contribution Rate Required</a:t>
            </a:r>
            <a:r>
              <a:rPr lang="en-US" sz="1400" baseline="0"/>
              <a:t> to Produce Equal Funds with varying Contribution Starting Age</a:t>
            </a:r>
            <a:endParaRPr lang="en-US" sz="1400"/>
          </a:p>
        </c:rich>
      </c:tx>
      <c:layout/>
      <c:spPr>
        <a:noFill/>
        <a:ln w="25400">
          <a:noFill/>
        </a:ln>
      </c:spPr>
    </c:title>
    <c:plotArea>
      <c:layout>
        <c:manualLayout>
          <c:layoutTarget val="inner"/>
          <c:xMode val="edge"/>
          <c:yMode val="edge"/>
          <c:x val="0.12247502029279307"/>
          <c:y val="0.14237288135593221"/>
          <c:w val="0.86201312747994407"/>
          <c:h val="0.7525423728813555"/>
        </c:manualLayout>
      </c:layout>
      <c:lineChart>
        <c:grouping val="standard"/>
        <c:ser>
          <c:idx val="1"/>
          <c:order val="0"/>
          <c:tx>
            <c:strRef>
              <c:f>'Summary and charts'!$C$21</c:f>
              <c:strCache>
                <c:ptCount val="1"/>
                <c:pt idx="0">
                  <c:v>Contribution Rate</c:v>
                </c:pt>
              </c:strCache>
            </c:strRef>
          </c:tx>
          <c:cat>
            <c:numRef>
              <c:f>'Summary and charts'!$B$22:$B$24</c:f>
              <c:numCache>
                <c:formatCode>General</c:formatCode>
                <c:ptCount val="3"/>
                <c:pt idx="0">
                  <c:v>25</c:v>
                </c:pt>
                <c:pt idx="1">
                  <c:v>35</c:v>
                </c:pt>
                <c:pt idx="2">
                  <c:v>45</c:v>
                </c:pt>
              </c:numCache>
            </c:numRef>
          </c:cat>
          <c:val>
            <c:numRef>
              <c:f>'Summary and charts'!$C$22:$C$24</c:f>
              <c:numCache>
                <c:formatCode>0.0%</c:formatCode>
                <c:ptCount val="3"/>
                <c:pt idx="0">
                  <c:v>0.08</c:v>
                </c:pt>
                <c:pt idx="1">
                  <c:v>0.11219313441536129</c:v>
                </c:pt>
                <c:pt idx="2">
                  <c:v>0.1768744349611007</c:v>
                </c:pt>
              </c:numCache>
            </c:numRef>
          </c:val>
        </c:ser>
        <c:marker val="1"/>
        <c:axId val="73265152"/>
        <c:axId val="73267456"/>
      </c:lineChart>
      <c:catAx>
        <c:axId val="73265152"/>
        <c:scaling>
          <c:orientation val="minMax"/>
        </c:scaling>
        <c:axPos val="b"/>
        <c:title>
          <c:tx>
            <c:rich>
              <a:bodyPr/>
              <a:lstStyle/>
              <a:p>
                <a:pPr>
                  <a:defRPr sz="1000" b="1" i="0" u="none" strike="noStrike" baseline="0">
                    <a:solidFill>
                      <a:srgbClr val="000000"/>
                    </a:solidFill>
                    <a:latin typeface="Calibri"/>
                    <a:ea typeface="Calibri"/>
                    <a:cs typeface="Calibri"/>
                  </a:defRPr>
                </a:pPr>
                <a:r>
                  <a:rPr lang="en-GB"/>
                  <a:t>Contribution Age</a:t>
                </a:r>
              </a:p>
            </c:rich>
          </c:tx>
          <c:layout/>
          <c:spPr>
            <a:noFill/>
            <a:ln w="25400">
              <a:noFill/>
            </a:ln>
          </c:spPr>
        </c:title>
        <c:numFmt formatCode="General" sourceLinked="1"/>
        <c:tickLblPos val="nextTo"/>
        <c:crossAx val="73267456"/>
        <c:crosses val="autoZero"/>
        <c:auto val="1"/>
        <c:lblAlgn val="ctr"/>
        <c:lblOffset val="100"/>
      </c:catAx>
      <c:valAx>
        <c:axId val="73267456"/>
        <c:scaling>
          <c:orientation val="minMax"/>
        </c:scaling>
        <c:axPos val="l"/>
        <c:majorGridlines/>
        <c:title>
          <c:tx>
            <c:rich>
              <a:bodyPr/>
              <a:lstStyle/>
              <a:p>
                <a:pPr>
                  <a:defRPr sz="1000" b="1" i="0" u="none" strike="noStrike" baseline="0">
                    <a:solidFill>
                      <a:srgbClr val="000000"/>
                    </a:solidFill>
                    <a:latin typeface="Calibri"/>
                    <a:ea typeface="Calibri"/>
                    <a:cs typeface="Calibri"/>
                  </a:defRPr>
                </a:pPr>
                <a:r>
                  <a:rPr lang="en-GB"/>
                  <a:t>Contribution Rate</a:t>
                </a:r>
              </a:p>
            </c:rich>
          </c:tx>
          <c:layout/>
          <c:spPr>
            <a:noFill/>
            <a:ln w="25400">
              <a:noFill/>
            </a:ln>
          </c:spPr>
        </c:title>
        <c:numFmt formatCode="0.0%" sourceLinked="0"/>
        <c:tickLblPos val="nextTo"/>
        <c:crossAx val="73265152"/>
        <c:crosses val="autoZero"/>
        <c:crossBetween val="between"/>
      </c:valAx>
    </c:plotArea>
    <c:plotVisOnly val="1"/>
    <c:dispBlanksAs val="gap"/>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400"/>
              <a:t>Final Fund Value In Today's Money with Different Investment Returns</a:t>
            </a:r>
          </a:p>
        </c:rich>
      </c:tx>
      <c:layout/>
      <c:spPr>
        <a:noFill/>
        <a:ln w="25400">
          <a:noFill/>
        </a:ln>
      </c:spPr>
    </c:title>
    <c:plotArea>
      <c:layout>
        <c:manualLayout>
          <c:layoutTarget val="inner"/>
          <c:xMode val="edge"/>
          <c:yMode val="edge"/>
          <c:x val="0.15693647618806542"/>
          <c:y val="0.16480879849089491"/>
          <c:w val="0.82851912803504058"/>
          <c:h val="0.73010653982186857"/>
        </c:manualLayout>
      </c:layout>
      <c:barChart>
        <c:barDir val="col"/>
        <c:grouping val="stacked"/>
        <c:ser>
          <c:idx val="0"/>
          <c:order val="0"/>
          <c:tx>
            <c:strRef>
              <c:f>'Summary and charts'!$C$3</c:f>
              <c:strCache>
                <c:ptCount val="1"/>
                <c:pt idx="0">
                  <c:v>Final Fund Value</c:v>
                </c:pt>
              </c:strCache>
            </c:strRef>
          </c:tx>
          <c:cat>
            <c:numRef>
              <c:f>'Summary and charts'!$B$4:$B$6</c:f>
              <c:numCache>
                <c:formatCode>0.0%</c:formatCode>
                <c:ptCount val="3"/>
                <c:pt idx="0">
                  <c:v>2.5000000000000001E-2</c:v>
                </c:pt>
                <c:pt idx="1">
                  <c:v>0.05</c:v>
                </c:pt>
                <c:pt idx="2">
                  <c:v>7.0000000000000007E-2</c:v>
                </c:pt>
              </c:numCache>
            </c:numRef>
          </c:cat>
          <c:val>
            <c:numRef>
              <c:f>'Summary and charts'!$C$4:$C$6</c:f>
              <c:numCache>
                <c:formatCode>_-* #,##0_-;\-* #,##0_-;_-* "-"??_-;_-@_-</c:formatCode>
                <c:ptCount val="3"/>
                <c:pt idx="0">
                  <c:v>85102.601308056372</c:v>
                </c:pt>
                <c:pt idx="1">
                  <c:v>136712.40376310027</c:v>
                </c:pt>
                <c:pt idx="2">
                  <c:v>209027.63658566613</c:v>
                </c:pt>
              </c:numCache>
            </c:numRef>
          </c:val>
        </c:ser>
        <c:overlap val="100"/>
        <c:axId val="78468992"/>
        <c:axId val="78483456"/>
      </c:barChart>
      <c:catAx>
        <c:axId val="78468992"/>
        <c:scaling>
          <c:orientation val="minMax"/>
        </c:scaling>
        <c:axPos val="b"/>
        <c:title>
          <c:tx>
            <c:rich>
              <a:bodyPr/>
              <a:lstStyle/>
              <a:p>
                <a:pPr>
                  <a:defRPr sz="1000" b="1" i="0" u="none" strike="noStrike" baseline="0">
                    <a:solidFill>
                      <a:srgbClr val="000000"/>
                    </a:solidFill>
                    <a:latin typeface="Calibri"/>
                    <a:ea typeface="Calibri"/>
                    <a:cs typeface="Calibri"/>
                  </a:defRPr>
                </a:pPr>
                <a:r>
                  <a:rPr lang="en-GB"/>
                  <a:t>Annual Investment Return</a:t>
                </a:r>
              </a:p>
            </c:rich>
          </c:tx>
          <c:layout/>
          <c:spPr>
            <a:noFill/>
            <a:ln w="25400">
              <a:noFill/>
            </a:ln>
          </c:spPr>
        </c:title>
        <c:numFmt formatCode="0.0%" sourceLinked="1"/>
        <c:tickLblPos val="nextTo"/>
        <c:crossAx val="78483456"/>
        <c:crosses val="autoZero"/>
        <c:auto val="1"/>
        <c:lblAlgn val="ctr"/>
        <c:lblOffset val="100"/>
      </c:catAx>
      <c:valAx>
        <c:axId val="78483456"/>
        <c:scaling>
          <c:orientation val="minMax"/>
        </c:scaling>
        <c:axPos val="l"/>
        <c:majorGridlines/>
        <c:title>
          <c:tx>
            <c:rich>
              <a:bodyPr/>
              <a:lstStyle/>
              <a:p>
                <a:pPr>
                  <a:defRPr sz="1000" b="1" i="0" u="none" strike="noStrike" baseline="0">
                    <a:solidFill>
                      <a:srgbClr val="000000"/>
                    </a:solidFill>
                    <a:latin typeface="Calibri"/>
                    <a:ea typeface="Calibri"/>
                    <a:cs typeface="Calibri"/>
                  </a:defRPr>
                </a:pPr>
                <a:r>
                  <a:rPr lang="en-GB"/>
                  <a:t>Final Fund Value in Today's money (£)</a:t>
                </a:r>
              </a:p>
            </c:rich>
          </c:tx>
          <c:layout>
            <c:manualLayout>
              <c:xMode val="edge"/>
              <c:yMode val="edge"/>
              <c:x val="1.4191963946628854E-2"/>
              <c:y val="0.22113446125392922"/>
            </c:manualLayout>
          </c:layout>
          <c:spPr>
            <a:noFill/>
            <a:ln w="25400">
              <a:noFill/>
            </a:ln>
          </c:spPr>
        </c:title>
        <c:numFmt formatCode="_-* #,##0_-;\-* #,##0_-;_-* &quot;-&quot;??_-;_-@_-" sourceLinked="1"/>
        <c:tickLblPos val="nextTo"/>
        <c:crossAx val="78468992"/>
        <c:crosses val="autoZero"/>
        <c:crossBetween val="between"/>
      </c:valAx>
    </c:plotArea>
    <c:plotVisOnly val="1"/>
    <c:dispBlanksAs val="gap"/>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609599</xdr:colOff>
      <xdr:row>19</xdr:row>
      <xdr:rowOff>319087</xdr:rowOff>
    </xdr:from>
    <xdr:to>
      <xdr:col>13</xdr:col>
      <xdr:colOff>581024</xdr:colOff>
      <xdr:row>39</xdr:row>
      <xdr:rowOff>114301</xdr:rowOff>
    </xdr:to>
    <xdr:graphicFrame macro="">
      <xdr:nvGraphicFramePr>
        <xdr:cNvPr id="2" name="Shap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0</xdr:row>
      <xdr:rowOff>157161</xdr:rowOff>
    </xdr:from>
    <xdr:to>
      <xdr:col>13</xdr:col>
      <xdr:colOff>457200</xdr:colOff>
      <xdr:row>19</xdr:row>
      <xdr:rowOff>85724</xdr:rowOff>
    </xdr:to>
    <xdr:graphicFrame macro="">
      <xdr:nvGraphicFramePr>
        <xdr:cNvPr id="3" name="Shap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ralie2/AppData/Local/Microsoft/Windows/Temporary%20Internet%20Files/Content.IE5/7DJOS8WV/CAA%20Module%205%20Draft%20Solution%20(Anna%20Short)%20v2%20H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ralie/Documents/CAA%20Module%205/Marker%20Assessments/Returned%20Tests/S01%20Mark%20Sheet%20Workbook%20NMcConvill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udit"/>
      <sheetName val="Additional comments from CJC"/>
      <sheetName val="Parameters"/>
      <sheetName val="Initial Increase Scenario"/>
      <sheetName val="High Increase Scenario"/>
      <sheetName val="Average Increase Scenario"/>
      <sheetName val="Low Increase Scenario"/>
      <sheetName val="Summary"/>
    </sheetNames>
    <sheetDataSet>
      <sheetData sheetId="0"/>
      <sheetData sheetId="1"/>
      <sheetData sheetId="2">
        <row r="4">
          <cell r="D4">
            <v>30000</v>
          </cell>
        </row>
        <row r="8">
          <cell r="D8">
            <v>1.6666666666666666E-2</v>
          </cell>
        </row>
        <row r="9">
          <cell r="D9">
            <v>1.8181818181818181E-2</v>
          </cell>
        </row>
        <row r="11">
          <cell r="D11">
            <v>0.03</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rks"/>
      <sheetName val="Cand 1"/>
      <sheetName val="Cand 2"/>
      <sheetName val="Cand 3"/>
      <sheetName val="Cand 4"/>
      <sheetName val="Cand 5"/>
      <sheetName val="TEMPLATE"/>
    </sheetNames>
    <sheetDataSet>
      <sheetData sheetId="0">
        <row r="54">
          <cell r="A54" t="str">
            <v>[S01 Mark Sheet Workbook NMcConville.xls]</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theme="1"/>
  </sheetPr>
  <dimension ref="B2:D139"/>
  <sheetViews>
    <sheetView showGridLines="0" tabSelected="1" zoomScale="90" zoomScaleNormal="90" workbookViewId="0">
      <selection activeCell="C66" sqref="C66"/>
    </sheetView>
  </sheetViews>
  <sheetFormatPr defaultRowHeight="15"/>
  <cols>
    <col min="3" max="3" width="138.7109375" style="5" customWidth="1"/>
    <col min="4" max="4" width="25.28515625" bestFit="1" customWidth="1"/>
  </cols>
  <sheetData>
    <row r="2" spans="2:3" ht="20.25" thickBot="1">
      <c r="B2" s="3" t="s">
        <v>18</v>
      </c>
      <c r="C2" s="4"/>
    </row>
    <row r="3" spans="2:3" ht="15.75" thickTop="1"/>
    <row r="4" spans="2:3">
      <c r="B4" s="7" t="s">
        <v>19</v>
      </c>
    </row>
    <row r="5" spans="2:3">
      <c r="B5" s="7"/>
      <c r="C5" s="5" t="s">
        <v>46</v>
      </c>
    </row>
    <row r="6" spans="2:3">
      <c r="B6" s="7"/>
      <c r="C6" s="5" t="s">
        <v>48</v>
      </c>
    </row>
    <row r="7" spans="2:3">
      <c r="B7" s="7"/>
      <c r="C7" s="5" t="s">
        <v>49</v>
      </c>
    </row>
    <row r="8" spans="2:3">
      <c r="B8" s="7"/>
    </row>
    <row r="9" spans="2:3">
      <c r="B9" s="7"/>
      <c r="C9" s="5" t="s">
        <v>47</v>
      </c>
    </row>
    <row r="10" spans="2:3">
      <c r="B10" s="7"/>
      <c r="C10" s="5" t="s">
        <v>128</v>
      </c>
    </row>
    <row r="11" spans="2:3" ht="30">
      <c r="B11" s="7"/>
      <c r="C11" s="5" t="s">
        <v>129</v>
      </c>
    </row>
    <row r="12" spans="2:3" ht="30">
      <c r="B12" s="7"/>
      <c r="C12" s="5" t="s">
        <v>60</v>
      </c>
    </row>
    <row r="13" spans="2:3">
      <c r="B13" s="7"/>
    </row>
    <row r="14" spans="2:3">
      <c r="B14" s="7" t="s">
        <v>146</v>
      </c>
    </row>
    <row r="15" spans="2:3">
      <c r="B15" s="7"/>
    </row>
    <row r="16" spans="2:3">
      <c r="B16" s="7"/>
      <c r="C16" s="6" t="s">
        <v>23</v>
      </c>
    </row>
    <row r="17" spans="2:3">
      <c r="B17" s="7"/>
    </row>
    <row r="18" spans="2:3">
      <c r="B18" s="7"/>
      <c r="C18" s="101" t="s">
        <v>45</v>
      </c>
    </row>
    <row r="19" spans="2:3">
      <c r="B19" s="7"/>
    </row>
    <row r="20" spans="2:3">
      <c r="B20" s="7"/>
      <c r="C20" s="102" t="s">
        <v>50</v>
      </c>
    </row>
    <row r="21" spans="2:3">
      <c r="B21" s="7"/>
      <c r="C21" s="7"/>
    </row>
    <row r="22" spans="2:3">
      <c r="B22" s="7"/>
      <c r="C22" s="55" t="s">
        <v>155</v>
      </c>
    </row>
    <row r="23" spans="2:3">
      <c r="B23" s="7"/>
    </row>
    <row r="24" spans="2:3">
      <c r="B24" s="7"/>
      <c r="C24" s="100" t="s">
        <v>24</v>
      </c>
    </row>
    <row r="25" spans="2:3">
      <c r="B25" s="7"/>
      <c r="C25" s="7"/>
    </row>
    <row r="26" spans="2:3">
      <c r="B26" s="7"/>
      <c r="C26" t="s">
        <v>140</v>
      </c>
    </row>
    <row r="27" spans="2:3">
      <c r="B27" s="7"/>
      <c r="C27" t="s">
        <v>55</v>
      </c>
    </row>
    <row r="28" spans="2:3">
      <c r="B28" s="7"/>
      <c r="C28" t="s">
        <v>51</v>
      </c>
    </row>
    <row r="29" spans="2:3">
      <c r="B29" s="7"/>
      <c r="C29" t="s">
        <v>52</v>
      </c>
    </row>
    <row r="30" spans="2:3">
      <c r="B30" s="7"/>
      <c r="C30" t="s">
        <v>53</v>
      </c>
    </row>
    <row r="31" spans="2:3">
      <c r="B31" s="7"/>
      <c r="C31" t="s">
        <v>54</v>
      </c>
    </row>
    <row r="32" spans="2:3">
      <c r="B32" s="7"/>
      <c r="C32"/>
    </row>
    <row r="33" spans="2:4">
      <c r="B33" s="7"/>
      <c r="C33" t="s">
        <v>56</v>
      </c>
    </row>
    <row r="34" spans="2:4">
      <c r="B34" s="7"/>
      <c r="C34" t="s">
        <v>57</v>
      </c>
    </row>
    <row r="35" spans="2:4">
      <c r="B35" s="7"/>
      <c r="C35" t="s">
        <v>58</v>
      </c>
    </row>
    <row r="36" spans="2:4">
      <c r="B36" s="7"/>
      <c r="C36" t="s">
        <v>59</v>
      </c>
    </row>
    <row r="37" spans="2:4">
      <c r="B37" s="7"/>
      <c r="C37"/>
    </row>
    <row r="38" spans="2:4">
      <c r="B38" s="7" t="s">
        <v>17</v>
      </c>
    </row>
    <row r="39" spans="2:4">
      <c r="B39" s="7"/>
      <c r="C39" s="5" t="s">
        <v>150</v>
      </c>
    </row>
    <row r="40" spans="2:4">
      <c r="B40" s="7"/>
      <c r="D40" t="s">
        <v>61</v>
      </c>
    </row>
    <row r="41" spans="2:4">
      <c r="B41" s="7"/>
      <c r="C41" s="5" t="s">
        <v>130</v>
      </c>
      <c r="D41" t="s">
        <v>62</v>
      </c>
    </row>
    <row r="42" spans="2:4">
      <c r="B42" s="7"/>
      <c r="C42" s="5" t="s">
        <v>71</v>
      </c>
      <c r="D42" t="s">
        <v>63</v>
      </c>
    </row>
    <row r="43" spans="2:4" ht="30">
      <c r="B43" s="7"/>
      <c r="C43" s="5" t="s">
        <v>171</v>
      </c>
      <c r="D43" t="s">
        <v>64</v>
      </c>
    </row>
    <row r="44" spans="2:4" ht="30">
      <c r="B44" s="7"/>
      <c r="C44" s="5" t="s">
        <v>72</v>
      </c>
      <c r="D44" t="s">
        <v>65</v>
      </c>
    </row>
    <row r="45" spans="2:4">
      <c r="B45" s="7"/>
      <c r="C45" s="5" t="s">
        <v>21</v>
      </c>
      <c r="D45" t="s">
        <v>66</v>
      </c>
    </row>
    <row r="46" spans="2:4" ht="30">
      <c r="B46" s="7"/>
      <c r="C46" s="5" t="s">
        <v>73</v>
      </c>
      <c r="D46" t="s">
        <v>67</v>
      </c>
    </row>
    <row r="47" spans="2:4">
      <c r="B47" s="7"/>
      <c r="C47" s="5" t="s">
        <v>20</v>
      </c>
      <c r="D47" t="s">
        <v>68</v>
      </c>
    </row>
    <row r="48" spans="2:4">
      <c r="B48" s="7"/>
      <c r="C48" s="5" t="s">
        <v>69</v>
      </c>
      <c r="D48" t="s">
        <v>70</v>
      </c>
    </row>
    <row r="49" spans="2:3">
      <c r="B49" s="7"/>
    </row>
    <row r="50" spans="2:3">
      <c r="B50" s="7" t="s">
        <v>131</v>
      </c>
    </row>
    <row r="51" spans="2:3">
      <c r="B51" s="7"/>
      <c r="C51" s="5" t="s">
        <v>141</v>
      </c>
    </row>
    <row r="52" spans="2:3">
      <c r="B52" s="7"/>
    </row>
    <row r="53" spans="2:3">
      <c r="B53" s="7"/>
      <c r="C53" s="103" t="s">
        <v>132</v>
      </c>
    </row>
    <row r="54" spans="2:3">
      <c r="B54" s="7"/>
      <c r="C54" s="5" t="s">
        <v>165</v>
      </c>
    </row>
    <row r="55" spans="2:3">
      <c r="B55" s="7"/>
      <c r="C55" s="5" t="s">
        <v>166</v>
      </c>
    </row>
    <row r="56" spans="2:3">
      <c r="B56" s="7"/>
      <c r="C56" s="5" t="s">
        <v>74</v>
      </c>
    </row>
    <row r="57" spans="2:3">
      <c r="B57" s="7"/>
    </row>
    <row r="58" spans="2:3">
      <c r="B58" s="7"/>
      <c r="C58" s="103" t="s">
        <v>32</v>
      </c>
    </row>
    <row r="59" spans="2:3">
      <c r="B59" s="7"/>
      <c r="C59" s="5" t="s">
        <v>156</v>
      </c>
    </row>
    <row r="60" spans="2:3">
      <c r="B60" s="7"/>
      <c r="C60" s="5" t="s">
        <v>142</v>
      </c>
    </row>
    <row r="61" spans="2:3">
      <c r="B61" s="7"/>
      <c r="C61" s="5" t="s">
        <v>133</v>
      </c>
    </row>
    <row r="62" spans="2:3" ht="30">
      <c r="B62" s="7"/>
      <c r="C62" s="5" t="s">
        <v>143</v>
      </c>
    </row>
    <row r="63" spans="2:3">
      <c r="B63" s="7"/>
      <c r="C63" s="5" t="s">
        <v>22</v>
      </c>
    </row>
    <row r="64" spans="2:3">
      <c r="B64" s="7"/>
      <c r="C64" s="5" t="s">
        <v>75</v>
      </c>
    </row>
    <row r="65" spans="2:3">
      <c r="B65" s="7"/>
      <c r="C65" s="5" t="s">
        <v>76</v>
      </c>
    </row>
    <row r="66" spans="2:3">
      <c r="B66" s="7"/>
      <c r="C66" s="5" t="s">
        <v>77</v>
      </c>
    </row>
    <row r="67" spans="2:3">
      <c r="B67" s="7"/>
    </row>
    <row r="68" spans="2:3">
      <c r="B68" s="7"/>
      <c r="C68" s="5" t="s">
        <v>172</v>
      </c>
    </row>
    <row r="69" spans="2:3">
      <c r="B69" s="7"/>
    </row>
    <row r="70" spans="2:3">
      <c r="B70" s="7"/>
      <c r="C70" s="5" t="s">
        <v>79</v>
      </c>
    </row>
    <row r="71" spans="2:3">
      <c r="B71" s="7"/>
    </row>
    <row r="72" spans="2:3">
      <c r="B72" s="7"/>
      <c r="C72" s="5" t="s">
        <v>27</v>
      </c>
    </row>
    <row r="73" spans="2:3">
      <c r="B73" s="7"/>
      <c r="C73" s="5" t="s">
        <v>28</v>
      </c>
    </row>
    <row r="74" spans="2:3">
      <c r="B74" s="7"/>
    </row>
    <row r="75" spans="2:3">
      <c r="B75" s="7"/>
      <c r="C75" s="103" t="s">
        <v>25</v>
      </c>
    </row>
    <row r="76" spans="2:3">
      <c r="B76" s="7"/>
      <c r="C76" s="5" t="s">
        <v>78</v>
      </c>
    </row>
    <row r="77" spans="2:3">
      <c r="B77" s="7"/>
    </row>
    <row r="78" spans="2:3">
      <c r="B78" s="7"/>
      <c r="C78" s="5" t="s">
        <v>29</v>
      </c>
    </row>
    <row r="79" spans="2:3">
      <c r="B79" s="7"/>
    </row>
    <row r="80" spans="2:3">
      <c r="B80" s="7"/>
      <c r="C80" s="103" t="s">
        <v>30</v>
      </c>
    </row>
    <row r="81" spans="2:3">
      <c r="B81" s="7"/>
      <c r="C81" s="5" t="s">
        <v>26</v>
      </c>
    </row>
    <row r="82" spans="2:3">
      <c r="B82" s="7"/>
      <c r="C82" s="5" t="s">
        <v>31</v>
      </c>
    </row>
    <row r="83" spans="2:3">
      <c r="B83" s="7"/>
      <c r="C83" s="5" t="s">
        <v>169</v>
      </c>
    </row>
    <row r="84" spans="2:3">
      <c r="B84" s="7"/>
      <c r="C84" s="5" t="s">
        <v>167</v>
      </c>
    </row>
    <row r="85" spans="2:3">
      <c r="B85" s="7"/>
      <c r="C85" s="5" t="s">
        <v>168</v>
      </c>
    </row>
    <row r="86" spans="2:3">
      <c r="B86" s="7"/>
    </row>
    <row r="87" spans="2:3">
      <c r="B87" s="7"/>
      <c r="C87" s="103" t="s">
        <v>124</v>
      </c>
    </row>
    <row r="88" spans="2:3">
      <c r="B88" s="7"/>
      <c r="C88" s="5" t="s">
        <v>125</v>
      </c>
    </row>
    <row r="89" spans="2:3">
      <c r="B89" s="7"/>
      <c r="C89" s="5" t="s">
        <v>149</v>
      </c>
    </row>
    <row r="90" spans="2:3">
      <c r="B90" s="7"/>
      <c r="C90" s="5" t="s">
        <v>126</v>
      </c>
    </row>
    <row r="91" spans="2:3">
      <c r="B91" s="7"/>
      <c r="C91" s="5" t="s">
        <v>173</v>
      </c>
    </row>
    <row r="92" spans="2:3">
      <c r="B92" s="7"/>
    </row>
    <row r="93" spans="2:3">
      <c r="B93" s="7" t="s">
        <v>80</v>
      </c>
    </row>
    <row r="94" spans="2:3">
      <c r="B94" s="7"/>
      <c r="C94" s="5" t="s">
        <v>134</v>
      </c>
    </row>
    <row r="95" spans="2:3">
      <c r="B95" s="7"/>
    </row>
    <row r="96" spans="2:3">
      <c r="B96" s="7"/>
      <c r="C96" s="5" t="s">
        <v>135</v>
      </c>
    </row>
    <row r="97" spans="2:3">
      <c r="B97" s="7"/>
    </row>
    <row r="98" spans="2:3">
      <c r="B98" s="7"/>
      <c r="C98" s="5" t="s">
        <v>81</v>
      </c>
    </row>
    <row r="99" spans="2:3">
      <c r="B99" s="7"/>
    </row>
    <row r="100" spans="2:3">
      <c r="B100" s="7"/>
      <c r="C100" s="5" t="s">
        <v>127</v>
      </c>
    </row>
    <row r="101" spans="2:3">
      <c r="B101" s="7"/>
    </row>
    <row r="102" spans="2:3">
      <c r="B102" s="7" t="s">
        <v>82</v>
      </c>
    </row>
    <row r="103" spans="2:3">
      <c r="B103" s="7"/>
      <c r="C103" s="5" t="s">
        <v>144</v>
      </c>
    </row>
    <row r="104" spans="2:3">
      <c r="B104" s="7"/>
      <c r="C104" s="5" t="s">
        <v>83</v>
      </c>
    </row>
    <row r="105" spans="2:3">
      <c r="B105" s="7"/>
    </row>
    <row r="106" spans="2:3">
      <c r="B106" s="7"/>
      <c r="C106" s="5" t="s">
        <v>84</v>
      </c>
    </row>
    <row r="107" spans="2:3">
      <c r="B107" s="7"/>
    </row>
    <row r="108" spans="2:3">
      <c r="B108" s="7"/>
      <c r="C108" s="5" t="s">
        <v>145</v>
      </c>
    </row>
    <row r="109" spans="2:3">
      <c r="B109" s="7"/>
      <c r="C109" s="5" t="s">
        <v>136</v>
      </c>
    </row>
    <row r="110" spans="2:3">
      <c r="B110" s="7"/>
      <c r="C110" s="5" t="s">
        <v>85</v>
      </c>
    </row>
    <row r="111" spans="2:3">
      <c r="B111" s="7"/>
    </row>
    <row r="112" spans="2:3">
      <c r="B112" s="7"/>
      <c r="C112" s="5" t="s">
        <v>86</v>
      </c>
    </row>
    <row r="113" spans="2:3" ht="30">
      <c r="B113" s="7"/>
      <c r="C113" s="5" t="s">
        <v>157</v>
      </c>
    </row>
    <row r="114" spans="2:3">
      <c r="B114" s="7"/>
    </row>
    <row r="115" spans="2:3">
      <c r="B115" s="7"/>
      <c r="C115" s="5" t="s">
        <v>127</v>
      </c>
    </row>
    <row r="116" spans="2:3">
      <c r="B116" s="7"/>
    </row>
    <row r="117" spans="2:3">
      <c r="B117" s="7" t="s">
        <v>87</v>
      </c>
    </row>
    <row r="118" spans="2:3">
      <c r="B118" s="7"/>
      <c r="C118" s="5" t="s">
        <v>88</v>
      </c>
    </row>
    <row r="119" spans="2:3">
      <c r="B119" s="7"/>
    </row>
    <row r="120" spans="2:3">
      <c r="B120" s="7"/>
      <c r="C120" s="5" t="s">
        <v>89</v>
      </c>
    </row>
    <row r="121" spans="2:3">
      <c r="B121" s="7"/>
      <c r="C121" s="5" t="s">
        <v>90</v>
      </c>
    </row>
    <row r="122" spans="2:3">
      <c r="B122" s="7"/>
      <c r="C122" s="5" t="s">
        <v>92</v>
      </c>
    </row>
    <row r="123" spans="2:3">
      <c r="B123" s="7"/>
      <c r="C123" s="5" t="s">
        <v>137</v>
      </c>
    </row>
    <row r="124" spans="2:3">
      <c r="B124" s="7"/>
      <c r="C124" s="5" t="s">
        <v>91</v>
      </c>
    </row>
    <row r="125" spans="2:3">
      <c r="B125" s="7"/>
    </row>
    <row r="126" spans="2:3" ht="30">
      <c r="B126" s="7"/>
      <c r="C126" s="5" t="s">
        <v>93</v>
      </c>
    </row>
    <row r="127" spans="2:3">
      <c r="B127" s="7"/>
      <c r="C127" s="5" t="s">
        <v>138</v>
      </c>
    </row>
    <row r="128" spans="2:3">
      <c r="B128" s="7"/>
      <c r="C128" s="5" t="s">
        <v>94</v>
      </c>
    </row>
    <row r="129" spans="2:3">
      <c r="B129" s="7"/>
      <c r="C129" s="5" t="s">
        <v>95</v>
      </c>
    </row>
    <row r="130" spans="2:3">
      <c r="B130" s="7"/>
    </row>
    <row r="131" spans="2:3">
      <c r="B131" s="7" t="s">
        <v>16</v>
      </c>
    </row>
    <row r="132" spans="2:3">
      <c r="B132" s="7"/>
      <c r="C132" s="5" t="s">
        <v>122</v>
      </c>
    </row>
    <row r="133" spans="2:3">
      <c r="B133" s="7"/>
      <c r="C133" s="5" t="s">
        <v>123</v>
      </c>
    </row>
    <row r="134" spans="2:3">
      <c r="B134" s="7"/>
    </row>
    <row r="135" spans="2:3" ht="45">
      <c r="B135" s="7"/>
      <c r="C135" s="5" t="s">
        <v>139</v>
      </c>
    </row>
    <row r="136" spans="2:3">
      <c r="B136" s="7"/>
    </row>
    <row r="137" spans="2:3">
      <c r="B137" s="7"/>
    </row>
    <row r="138" spans="2:3">
      <c r="B138" s="7"/>
    </row>
    <row r="139" spans="2:3">
      <c r="B139" s="7"/>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6" tint="0.39997558519241921"/>
  </sheetPr>
  <dimension ref="B2:E20"/>
  <sheetViews>
    <sheetView showGridLines="0" workbookViewId="0"/>
  </sheetViews>
  <sheetFormatPr defaultRowHeight="15"/>
  <cols>
    <col min="2" max="2" width="5.140625" customWidth="1"/>
    <col min="3" max="3" width="23.140625" bestFit="1" customWidth="1"/>
    <col min="4" max="4" width="10.5703125" bestFit="1" customWidth="1"/>
    <col min="5" max="6" width="5.140625" customWidth="1"/>
  </cols>
  <sheetData>
    <row r="2" spans="2:5">
      <c r="B2" s="83"/>
      <c r="C2" s="84"/>
      <c r="D2" s="84"/>
      <c r="E2" s="85"/>
    </row>
    <row r="3" spans="2:5" ht="20.25" thickBot="1">
      <c r="B3" s="69"/>
      <c r="C3" s="99" t="s">
        <v>17</v>
      </c>
      <c r="D3" s="99"/>
      <c r="E3" s="72"/>
    </row>
    <row r="4" spans="2:5" ht="15.75" thickTop="1">
      <c r="B4" s="69"/>
      <c r="C4" s="47"/>
      <c r="D4" s="47"/>
      <c r="E4" s="72"/>
    </row>
    <row r="5" spans="2:5">
      <c r="B5" s="69"/>
      <c r="C5" s="47" t="s">
        <v>35</v>
      </c>
      <c r="D5" s="1">
        <v>25</v>
      </c>
      <c r="E5" s="72"/>
    </row>
    <row r="6" spans="2:5">
      <c r="B6" s="69"/>
      <c r="C6" s="47"/>
      <c r="D6" s="47"/>
      <c r="E6" s="72"/>
    </row>
    <row r="7" spans="2:5">
      <c r="B7" s="69"/>
      <c r="C7" s="47" t="s">
        <v>34</v>
      </c>
      <c r="D7" s="1">
        <v>25</v>
      </c>
      <c r="E7" s="72"/>
    </row>
    <row r="8" spans="2:5">
      <c r="B8" s="69"/>
      <c r="C8" s="47"/>
      <c r="D8" s="47"/>
      <c r="E8" s="72"/>
    </row>
    <row r="9" spans="2:5">
      <c r="B9" s="69"/>
      <c r="C9" s="47" t="s">
        <v>33</v>
      </c>
      <c r="D9" s="1">
        <v>65</v>
      </c>
      <c r="E9" s="72"/>
    </row>
    <row r="10" spans="2:5">
      <c r="B10" s="69"/>
      <c r="C10" s="47"/>
      <c r="D10" s="47"/>
      <c r="E10" s="72"/>
    </row>
    <row r="11" spans="2:5">
      <c r="B11" s="69"/>
      <c r="C11" s="47" t="s">
        <v>5</v>
      </c>
      <c r="D11" s="89">
        <v>0.08</v>
      </c>
      <c r="E11" s="72"/>
    </row>
    <row r="12" spans="2:5">
      <c r="B12" s="69"/>
      <c r="C12" s="47"/>
      <c r="D12" s="47"/>
      <c r="E12" s="72"/>
    </row>
    <row r="13" spans="2:5">
      <c r="B13" s="69"/>
      <c r="C13" s="47" t="s">
        <v>0</v>
      </c>
      <c r="D13" s="49">
        <v>20000</v>
      </c>
      <c r="E13" s="72"/>
    </row>
    <row r="14" spans="2:5">
      <c r="B14" s="69"/>
      <c r="C14" s="47"/>
      <c r="D14" s="47"/>
      <c r="E14" s="72"/>
    </row>
    <row r="15" spans="2:5">
      <c r="B15" s="69"/>
      <c r="C15" s="47" t="s">
        <v>1</v>
      </c>
      <c r="D15" s="89">
        <v>0.04</v>
      </c>
      <c r="E15" s="72"/>
    </row>
    <row r="16" spans="2:5">
      <c r="B16" s="69"/>
      <c r="C16" s="47"/>
      <c r="D16" s="47"/>
      <c r="E16" s="72"/>
    </row>
    <row r="17" spans="2:5">
      <c r="B17" s="69"/>
      <c r="C17" s="47" t="s">
        <v>2</v>
      </c>
      <c r="D17" s="89">
        <v>0.05</v>
      </c>
      <c r="E17" s="72"/>
    </row>
    <row r="18" spans="2:5">
      <c r="B18" s="69"/>
      <c r="C18" s="47"/>
      <c r="D18" s="47"/>
      <c r="E18" s="72"/>
    </row>
    <row r="19" spans="2:5">
      <c r="B19" s="69"/>
      <c r="C19" s="47" t="s">
        <v>3</v>
      </c>
      <c r="D19" s="89">
        <v>2.5000000000000001E-2</v>
      </c>
      <c r="E19" s="72"/>
    </row>
    <row r="20" spans="2:5">
      <c r="B20" s="87"/>
      <c r="C20" s="86"/>
      <c r="D20" s="86"/>
      <c r="E20" s="88"/>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4" tint="0.79998168889431442"/>
  </sheetPr>
  <dimension ref="B1:Q63"/>
  <sheetViews>
    <sheetView showGridLines="0" zoomScale="80" zoomScaleNormal="80" workbookViewId="0"/>
  </sheetViews>
  <sheetFormatPr defaultRowHeight="15"/>
  <cols>
    <col min="1" max="1" width="3.28515625" customWidth="1"/>
    <col min="3" max="3" width="15.42578125" customWidth="1"/>
    <col min="4" max="4" width="15.140625" customWidth="1"/>
    <col min="5" max="5" width="20.7109375" customWidth="1"/>
    <col min="6" max="6" width="19" bestFit="1" customWidth="1"/>
    <col min="7" max="7" width="19" customWidth="1"/>
    <col min="8" max="8" width="17.140625" bestFit="1" customWidth="1"/>
    <col min="10" max="10" width="3.28515625" customWidth="1"/>
    <col min="13" max="13" width="27" bestFit="1" customWidth="1"/>
    <col min="14" max="14" width="12.85546875" customWidth="1"/>
    <col min="15" max="15" width="12.28515625" bestFit="1" customWidth="1"/>
  </cols>
  <sheetData>
    <row r="1" spans="2:17" ht="23.25" thickBot="1">
      <c r="B1" s="82" t="s">
        <v>151</v>
      </c>
      <c r="C1" s="3"/>
      <c r="D1" s="3"/>
      <c r="E1" s="3"/>
      <c r="F1" s="3"/>
      <c r="G1" s="3"/>
      <c r="H1" s="3"/>
      <c r="I1" s="3"/>
      <c r="J1" s="3"/>
    </row>
    <row r="2" spans="2:17" ht="15.75" thickTop="1"/>
    <row r="3" spans="2:17">
      <c r="B3" s="10"/>
      <c r="C3" s="11"/>
      <c r="D3" s="11"/>
      <c r="E3" s="11"/>
      <c r="F3" s="11"/>
      <c r="G3" s="11"/>
      <c r="H3" s="11"/>
      <c r="I3" s="12"/>
      <c r="K3" s="36"/>
      <c r="L3" s="111"/>
      <c r="M3" s="111"/>
      <c r="N3" s="111"/>
      <c r="O3" s="111"/>
      <c r="P3" s="111"/>
      <c r="Q3" s="38"/>
    </row>
    <row r="4" spans="2:17" s="9" customFormat="1" ht="20.25" thickBot="1">
      <c r="B4" s="13"/>
      <c r="C4" s="14" t="s">
        <v>152</v>
      </c>
      <c r="D4" s="14"/>
      <c r="E4" s="14"/>
      <c r="F4" s="14"/>
      <c r="G4" s="14"/>
      <c r="H4" s="14"/>
      <c r="I4" s="15"/>
      <c r="K4" s="112"/>
      <c r="L4" s="14" t="s">
        <v>16</v>
      </c>
      <c r="M4" s="14"/>
      <c r="N4" s="14"/>
      <c r="O4" s="14"/>
      <c r="P4" s="14"/>
      <c r="Q4" s="113"/>
    </row>
    <row r="5" spans="2:17" ht="15.75" thickTop="1">
      <c r="B5" s="16"/>
      <c r="C5" s="17"/>
      <c r="D5" s="17"/>
      <c r="E5" s="17"/>
      <c r="F5" s="17"/>
      <c r="G5" s="46" t="s">
        <v>38</v>
      </c>
      <c r="H5" s="17"/>
      <c r="I5" s="18"/>
      <c r="K5" s="39"/>
      <c r="L5" s="17"/>
      <c r="M5" s="110"/>
      <c r="N5" s="110"/>
      <c r="O5" s="110"/>
      <c r="P5" s="110"/>
      <c r="Q5" s="40"/>
    </row>
    <row r="6" spans="2:17">
      <c r="B6" s="16"/>
      <c r="C6" s="17"/>
      <c r="D6" s="36"/>
      <c r="E6" s="37" t="s">
        <v>35</v>
      </c>
      <c r="F6" s="38">
        <f>CurrentAge</f>
        <v>25</v>
      </c>
      <c r="G6" s="55" t="str">
        <f>IF(F6=CurrentAge,"ok",IF(F6&lt;0,"Current Age must be greater than zero","Note: Parameter Override"))</f>
        <v>ok</v>
      </c>
      <c r="H6" s="17"/>
      <c r="I6" s="18"/>
      <c r="K6" s="39"/>
      <c r="L6" s="17"/>
      <c r="M6" s="36"/>
      <c r="N6" s="111" t="s">
        <v>100</v>
      </c>
      <c r="O6" s="111" t="s">
        <v>101</v>
      </c>
      <c r="P6" s="38" t="s">
        <v>98</v>
      </c>
      <c r="Q6" s="40"/>
    </row>
    <row r="7" spans="2:17">
      <c r="B7" s="16"/>
      <c r="C7" s="17"/>
      <c r="D7" s="39"/>
      <c r="E7" s="19" t="s">
        <v>34</v>
      </c>
      <c r="F7" s="40">
        <f>ContStartAge</f>
        <v>25</v>
      </c>
      <c r="G7" s="55" t="str">
        <f>IF(F7=ContStartAge,"ok","Note: Parameter Override")</f>
        <v>ok</v>
      </c>
      <c r="H7" s="17"/>
      <c r="I7" s="18"/>
      <c r="K7" s="39"/>
      <c r="L7" s="17"/>
      <c r="M7" s="39" t="str">
        <f>"Check of contribution at age "&amp;C62</f>
        <v>Check of contribution at age 64</v>
      </c>
      <c r="N7" s="17">
        <f>F10 *F9 * ((1+F11)^(C62-C23))</f>
        <v>7386.1855814410119</v>
      </c>
      <c r="O7" s="32">
        <f>E62</f>
        <v>7386.1855814410128</v>
      </c>
      <c r="P7" s="106" t="str">
        <f>IF(ROUND(N7-O7,8)=0,"ok","check")</f>
        <v>ok</v>
      </c>
      <c r="Q7" s="40"/>
    </row>
    <row r="8" spans="2:17">
      <c r="B8" s="16"/>
      <c r="C8" s="17"/>
      <c r="D8" s="39"/>
      <c r="E8" s="19" t="s">
        <v>33</v>
      </c>
      <c r="F8" s="40">
        <f>RetirementAge</f>
        <v>65</v>
      </c>
      <c r="G8" s="55" t="str">
        <f>IF(F8&gt;MAX(C23:C62)+1,"Sheet will only work up to age "&amp;MAX(C23:C62)+1&amp;". Please copy formulae down to increase the maximum age",IF(F8&lt;F6,"Retirement Age must be greater than current age",IF(F8=RetirementAge,"ok","Note: Parameter Override")))</f>
        <v>ok</v>
      </c>
      <c r="H8" s="17"/>
      <c r="I8" s="18"/>
      <c r="K8" s="39"/>
      <c r="L8" s="17"/>
      <c r="M8" s="39" t="s">
        <v>102</v>
      </c>
      <c r="N8" s="17"/>
      <c r="O8" s="17"/>
      <c r="P8" s="106" t="str">
        <f>IF(COUNTIF(M24:M62,TRUE)&gt;0,"Check","ok")</f>
        <v>ok</v>
      </c>
      <c r="Q8" s="40"/>
    </row>
    <row r="9" spans="2:17">
      <c r="B9" s="16"/>
      <c r="C9" s="17"/>
      <c r="D9" s="39"/>
      <c r="E9" s="19" t="s">
        <v>5</v>
      </c>
      <c r="F9" s="41">
        <f>ContRate</f>
        <v>0.08</v>
      </c>
      <c r="G9" s="55" t="str">
        <f>IF(F9=ContRate,"ok","Note: Parameter Override")</f>
        <v>ok</v>
      </c>
      <c r="H9" s="17"/>
      <c r="I9" s="18"/>
      <c r="K9" s="39"/>
      <c r="L9" s="17"/>
      <c r="M9" s="39" t="s">
        <v>105</v>
      </c>
      <c r="N9" s="17"/>
      <c r="O9" s="17"/>
      <c r="P9" s="106" t="str">
        <f>IF(COUNTIF(N24:N62,TRUE)&gt;0,"Check","ok")</f>
        <v>ok</v>
      </c>
      <c r="Q9" s="40"/>
    </row>
    <row r="10" spans="2:17">
      <c r="B10" s="16"/>
      <c r="C10" s="17"/>
      <c r="D10" s="39"/>
      <c r="E10" s="19" t="s">
        <v>0</v>
      </c>
      <c r="F10" s="42">
        <f>StartSal</f>
        <v>20000</v>
      </c>
      <c r="G10" s="55" t="str">
        <f>IF(F10=StartSal,"ok","Note: Parameter Override")</f>
        <v>ok</v>
      </c>
      <c r="H10" s="17"/>
      <c r="I10" s="18"/>
      <c r="K10" s="39"/>
      <c r="L10" s="17"/>
      <c r="M10" s="39" t="s">
        <v>113</v>
      </c>
      <c r="N10" s="17"/>
      <c r="O10" s="17"/>
      <c r="P10" s="106" t="str">
        <f>IF(F17&lt;F19,"check","ok")</f>
        <v>ok</v>
      </c>
      <c r="Q10" s="40"/>
    </row>
    <row r="11" spans="2:17">
      <c r="B11" s="16"/>
      <c r="C11" s="17"/>
      <c r="D11" s="39"/>
      <c r="E11" s="19" t="s">
        <v>1</v>
      </c>
      <c r="F11" s="41">
        <f>SalInc</f>
        <v>0.04</v>
      </c>
      <c r="G11" s="55" t="str">
        <f>IF(F11=SalInc,"ok","Note: Parameter Override")</f>
        <v>ok</v>
      </c>
      <c r="H11" s="17"/>
      <c r="I11" s="18"/>
      <c r="K11" s="39"/>
      <c r="L11" s="17"/>
      <c r="M11" s="43"/>
      <c r="N11" s="117"/>
      <c r="O11" s="117"/>
      <c r="P11" s="45"/>
      <c r="Q11" s="40"/>
    </row>
    <row r="12" spans="2:17">
      <c r="B12" s="16"/>
      <c r="C12" s="17"/>
      <c r="D12" s="39"/>
      <c r="E12" s="19" t="s">
        <v>2</v>
      </c>
      <c r="F12" s="41">
        <f>InvRet</f>
        <v>0.05</v>
      </c>
      <c r="G12" s="55" t="str">
        <f>IF(F12=InvRet,"ok","Note: Parameter Override")</f>
        <v>ok</v>
      </c>
      <c r="H12" s="17"/>
      <c r="I12" s="18"/>
      <c r="K12" s="39"/>
      <c r="L12" s="17"/>
      <c r="M12" s="17"/>
      <c r="N12" s="17"/>
      <c r="O12" s="17"/>
      <c r="P12" s="17"/>
      <c r="Q12" s="40"/>
    </row>
    <row r="13" spans="2:17">
      <c r="B13" s="16"/>
      <c r="C13" s="17"/>
      <c r="D13" s="39"/>
      <c r="E13" s="19" t="s">
        <v>3</v>
      </c>
      <c r="F13" s="41">
        <f>PriceInf</f>
        <v>2.5000000000000001E-2</v>
      </c>
      <c r="G13" s="55" t="str">
        <f>IF(F13=PriceInf,"ok","Note: Parameter Override")</f>
        <v>ok</v>
      </c>
      <c r="H13" s="17"/>
      <c r="I13" s="18"/>
      <c r="K13" s="39"/>
      <c r="L13" s="110"/>
      <c r="M13" s="17"/>
      <c r="N13" s="17"/>
      <c r="O13" s="17"/>
      <c r="P13" s="17"/>
      <c r="Q13" s="40"/>
    </row>
    <row r="14" spans="2:17">
      <c r="B14" s="16"/>
      <c r="C14" s="17"/>
      <c r="D14" s="39"/>
      <c r="E14" s="19" t="s">
        <v>10</v>
      </c>
      <c r="F14" s="40">
        <f>F8-F6</f>
        <v>40</v>
      </c>
      <c r="G14" s="17"/>
      <c r="H14" s="17"/>
      <c r="I14" s="18"/>
      <c r="K14" s="39"/>
      <c r="L14" s="17"/>
      <c r="M14" s="17"/>
      <c r="N14" s="17"/>
      <c r="O14" s="17"/>
      <c r="P14" s="17"/>
      <c r="Q14" s="40"/>
    </row>
    <row r="15" spans="2:17">
      <c r="B15" s="16"/>
      <c r="C15" s="17"/>
      <c r="D15" s="43"/>
      <c r="E15" s="44" t="s">
        <v>37</v>
      </c>
      <c r="F15" s="45">
        <f>MATCH(H$22,C$22:H$22,0)</f>
        <v>6</v>
      </c>
      <c r="G15" s="17"/>
      <c r="H15" s="17"/>
      <c r="I15" s="18"/>
      <c r="K15" s="39"/>
      <c r="L15" s="17"/>
      <c r="M15" s="17"/>
      <c r="N15" s="17"/>
      <c r="O15" s="17"/>
      <c r="P15" s="17"/>
      <c r="Q15" s="40"/>
    </row>
    <row r="16" spans="2:17">
      <c r="B16" s="16"/>
      <c r="C16" s="17"/>
      <c r="D16" s="17"/>
      <c r="E16" s="19"/>
      <c r="F16" s="17"/>
      <c r="G16" s="17"/>
      <c r="H16" s="17"/>
      <c r="I16" s="18"/>
      <c r="K16" s="39"/>
      <c r="L16" s="17"/>
      <c r="M16" s="17"/>
      <c r="N16" s="17"/>
      <c r="O16" s="17"/>
      <c r="P16" s="17"/>
      <c r="Q16" s="40"/>
    </row>
    <row r="17" spans="2:17" s="5" customFormat="1" ht="30">
      <c r="B17" s="22"/>
      <c r="C17" s="23"/>
      <c r="D17" s="24"/>
      <c r="E17" s="25" t="s">
        <v>36</v>
      </c>
      <c r="F17" s="26">
        <f>VLOOKUP(F8-1,C$23:H$62,F15)</f>
        <v>367081.53160366899</v>
      </c>
      <c r="G17" s="27"/>
      <c r="H17" s="17"/>
      <c r="I17" s="28"/>
      <c r="K17" s="56"/>
      <c r="L17" s="23"/>
      <c r="M17" s="23"/>
      <c r="N17" s="23"/>
      <c r="O17" s="23"/>
      <c r="P17" s="23"/>
      <c r="Q17" s="57"/>
    </row>
    <row r="18" spans="2:17" s="5" customFormat="1">
      <c r="B18" s="22"/>
      <c r="C18" s="23"/>
      <c r="D18" s="22"/>
      <c r="E18" s="23"/>
      <c r="F18" s="28"/>
      <c r="G18" s="27"/>
      <c r="H18" s="17"/>
      <c r="I18" s="28"/>
      <c r="K18" s="56"/>
      <c r="L18" s="23"/>
      <c r="M18" s="23"/>
      <c r="N18" s="23"/>
      <c r="O18" s="23"/>
      <c r="P18" s="23"/>
      <c r="Q18" s="57"/>
    </row>
    <row r="19" spans="2:17" s="5" customFormat="1">
      <c r="B19" s="22"/>
      <c r="C19" s="23"/>
      <c r="D19" s="29"/>
      <c r="E19" s="30" t="s">
        <v>7</v>
      </c>
      <c r="F19" s="31">
        <f>F17*((1+F13)^-F14)</f>
        <v>136712.40376310027</v>
      </c>
      <c r="G19" s="55" t="s">
        <v>11</v>
      </c>
      <c r="H19" s="17"/>
      <c r="I19" s="28"/>
      <c r="K19" s="56"/>
      <c r="L19" s="23"/>
      <c r="M19" s="23"/>
      <c r="N19" s="23"/>
      <c r="O19" s="23"/>
      <c r="P19" s="23"/>
      <c r="Q19" s="57"/>
    </row>
    <row r="20" spans="2:17">
      <c r="B20" s="16"/>
      <c r="C20" s="17"/>
      <c r="D20" s="17"/>
      <c r="E20" s="17"/>
      <c r="F20" s="17"/>
      <c r="G20" s="17"/>
      <c r="H20" s="17"/>
      <c r="I20" s="18"/>
      <c r="K20" s="39"/>
      <c r="L20" s="17"/>
      <c r="M20" s="17"/>
      <c r="N20" s="17"/>
      <c r="O20" s="17"/>
      <c r="P20" s="17"/>
      <c r="Q20" s="40"/>
    </row>
    <row r="21" spans="2:17">
      <c r="B21" s="16"/>
      <c r="C21" s="17"/>
      <c r="D21" s="17"/>
      <c r="E21" s="32"/>
      <c r="F21" s="17"/>
      <c r="G21" s="17"/>
      <c r="H21" s="17"/>
      <c r="I21" s="18"/>
      <c r="K21" s="39"/>
      <c r="L21" s="17"/>
      <c r="M21" s="17"/>
      <c r="N21" s="17"/>
      <c r="O21" s="17"/>
      <c r="P21" s="17"/>
      <c r="Q21" s="40"/>
    </row>
    <row r="22" spans="2:17" s="8" customFormat="1" ht="45">
      <c r="B22" s="33"/>
      <c r="C22" s="52" t="s">
        <v>4</v>
      </c>
      <c r="D22" s="52" t="s">
        <v>8</v>
      </c>
      <c r="E22" s="52" t="s">
        <v>9</v>
      </c>
      <c r="F22" s="52" t="s">
        <v>163</v>
      </c>
      <c r="G22" s="52" t="s">
        <v>164</v>
      </c>
      <c r="H22" s="52" t="s">
        <v>170</v>
      </c>
      <c r="I22" s="34"/>
      <c r="K22" s="114"/>
      <c r="L22" s="115"/>
      <c r="M22" s="23" t="s">
        <v>104</v>
      </c>
      <c r="N22" s="115" t="s">
        <v>103</v>
      </c>
      <c r="O22" s="115"/>
      <c r="P22" s="115"/>
      <c r="Q22" s="116"/>
    </row>
    <row r="23" spans="2:17">
      <c r="B23" s="16"/>
      <c r="C23" s="53">
        <f>$F$6</f>
        <v>25</v>
      </c>
      <c r="D23" s="48">
        <f>F$10</f>
        <v>20000</v>
      </c>
      <c r="E23" s="50">
        <f>IF(C23&lt;F$7,0,D23*F$9)</f>
        <v>1600</v>
      </c>
      <c r="F23" s="50">
        <f>E23*((1+$F$12)^0.5)</f>
        <v>1639.5121225535358</v>
      </c>
      <c r="G23" s="48">
        <v>0</v>
      </c>
      <c r="H23" s="50">
        <f>F23+G23</f>
        <v>1639.5121225535358</v>
      </c>
      <c r="I23" s="18"/>
      <c r="K23" s="39"/>
      <c r="L23" s="17"/>
      <c r="M23" s="17"/>
      <c r="N23" s="17"/>
      <c r="O23" s="17"/>
      <c r="P23" s="17"/>
      <c r="Q23" s="40"/>
    </row>
    <row r="24" spans="2:17">
      <c r="B24" s="16"/>
      <c r="C24" s="54">
        <f t="shared" ref="C24:C62" si="0">C23+1</f>
        <v>26</v>
      </c>
      <c r="D24" s="50">
        <f t="shared" ref="D24:D62" si="1">D23*(1+F$11)</f>
        <v>20800</v>
      </c>
      <c r="E24" s="50">
        <f t="shared" ref="E24:E62" si="2">IF(C24&lt;F$7,0,D24*F$9)</f>
        <v>1664</v>
      </c>
      <c r="F24" s="50">
        <f t="shared" ref="F24:F62" si="3">E24*((1+$F$12)^0.5)</f>
        <v>1705.0926074556774</v>
      </c>
      <c r="G24" s="50">
        <f>H23*(1+$F$12)</f>
        <v>1721.4877286812127</v>
      </c>
      <c r="H24" s="50">
        <f t="shared" ref="H24:H62" si="4">F24+G24</f>
        <v>3426.5803361368899</v>
      </c>
      <c r="I24" s="18"/>
      <c r="K24" s="39"/>
      <c r="L24" s="17"/>
      <c r="M24" s="17" t="b">
        <f>D24&lt;D23</f>
        <v>0</v>
      </c>
      <c r="N24" s="17" t="b">
        <f>H24&lt;H23</f>
        <v>0</v>
      </c>
      <c r="O24" s="17"/>
      <c r="P24" s="17"/>
      <c r="Q24" s="40"/>
    </row>
    <row r="25" spans="2:17">
      <c r="B25" s="16"/>
      <c r="C25" s="54">
        <f t="shared" si="0"/>
        <v>27</v>
      </c>
      <c r="D25" s="50">
        <f t="shared" si="1"/>
        <v>21632</v>
      </c>
      <c r="E25" s="50">
        <f t="shared" si="2"/>
        <v>1730.56</v>
      </c>
      <c r="F25" s="50">
        <f t="shared" si="3"/>
        <v>1773.2963117539043</v>
      </c>
      <c r="G25" s="50">
        <f t="shared" ref="G25:G62" si="5">H24*(1+$F$12)</f>
        <v>3597.9093529437346</v>
      </c>
      <c r="H25" s="50">
        <f t="shared" si="4"/>
        <v>5371.2056646976389</v>
      </c>
      <c r="I25" s="18"/>
      <c r="K25" s="39"/>
      <c r="L25" s="17"/>
      <c r="M25" s="17" t="b">
        <f t="shared" ref="M25:M62" si="6">D25&lt;D24</f>
        <v>0</v>
      </c>
      <c r="N25" s="17" t="b">
        <f t="shared" ref="N25:N62" si="7">H25&lt;H24</f>
        <v>0</v>
      </c>
      <c r="O25" s="17"/>
      <c r="P25" s="17"/>
      <c r="Q25" s="40"/>
    </row>
    <row r="26" spans="2:17">
      <c r="B26" s="16"/>
      <c r="C26" s="54">
        <f t="shared" si="0"/>
        <v>28</v>
      </c>
      <c r="D26" s="50">
        <f t="shared" si="1"/>
        <v>22497.280000000002</v>
      </c>
      <c r="E26" s="50">
        <f t="shared" si="2"/>
        <v>1799.7824000000003</v>
      </c>
      <c r="F26" s="50">
        <f t="shared" si="3"/>
        <v>1844.2281642240609</v>
      </c>
      <c r="G26" s="50">
        <f t="shared" si="5"/>
        <v>5639.7659479325212</v>
      </c>
      <c r="H26" s="50">
        <f t="shared" si="4"/>
        <v>7483.9941121565826</v>
      </c>
      <c r="I26" s="18"/>
      <c r="K26" s="39"/>
      <c r="L26" s="17"/>
      <c r="M26" s="17" t="b">
        <f t="shared" si="6"/>
        <v>0</v>
      </c>
      <c r="N26" s="17" t="b">
        <f t="shared" si="7"/>
        <v>0</v>
      </c>
      <c r="O26" s="17"/>
      <c r="P26" s="17"/>
      <c r="Q26" s="40"/>
    </row>
    <row r="27" spans="2:17">
      <c r="B27" s="16"/>
      <c r="C27" s="54">
        <f t="shared" si="0"/>
        <v>29</v>
      </c>
      <c r="D27" s="50">
        <f t="shared" si="1"/>
        <v>23397.171200000004</v>
      </c>
      <c r="E27" s="50">
        <f t="shared" si="2"/>
        <v>1871.7736960000004</v>
      </c>
      <c r="F27" s="50">
        <f t="shared" si="3"/>
        <v>1917.9972907930235</v>
      </c>
      <c r="G27" s="50">
        <f t="shared" si="5"/>
        <v>7858.1938177644124</v>
      </c>
      <c r="H27" s="50">
        <f t="shared" si="4"/>
        <v>9776.1911085574357</v>
      </c>
      <c r="I27" s="18"/>
      <c r="K27" s="39"/>
      <c r="L27" s="17"/>
      <c r="M27" s="17" t="b">
        <f t="shared" si="6"/>
        <v>0</v>
      </c>
      <c r="N27" s="17" t="b">
        <f t="shared" si="7"/>
        <v>0</v>
      </c>
      <c r="O27" s="17"/>
      <c r="P27" s="17"/>
      <c r="Q27" s="40"/>
    </row>
    <row r="28" spans="2:17">
      <c r="B28" s="16"/>
      <c r="C28" s="54">
        <f t="shared" si="0"/>
        <v>30</v>
      </c>
      <c r="D28" s="50">
        <f t="shared" si="1"/>
        <v>24333.058048000006</v>
      </c>
      <c r="E28" s="50">
        <f t="shared" si="2"/>
        <v>1946.6446438400005</v>
      </c>
      <c r="F28" s="50">
        <f t="shared" si="3"/>
        <v>1994.7171824247446</v>
      </c>
      <c r="G28" s="50">
        <f t="shared" si="5"/>
        <v>10265.000663985307</v>
      </c>
      <c r="H28" s="50">
        <f t="shared" si="4"/>
        <v>12259.717846410053</v>
      </c>
      <c r="I28" s="18"/>
      <c r="K28" s="39"/>
      <c r="L28" s="17"/>
      <c r="M28" s="17" t="b">
        <f t="shared" si="6"/>
        <v>0</v>
      </c>
      <c r="N28" s="17" t="b">
        <f t="shared" si="7"/>
        <v>0</v>
      </c>
      <c r="O28" s="17"/>
      <c r="P28" s="17"/>
      <c r="Q28" s="40"/>
    </row>
    <row r="29" spans="2:17">
      <c r="B29" s="16"/>
      <c r="C29" s="54">
        <f t="shared" si="0"/>
        <v>31</v>
      </c>
      <c r="D29" s="50">
        <f t="shared" si="1"/>
        <v>25306.380369920007</v>
      </c>
      <c r="E29" s="50">
        <f t="shared" si="2"/>
        <v>2024.5104295936005</v>
      </c>
      <c r="F29" s="50">
        <f t="shared" si="3"/>
        <v>2074.5058697217341</v>
      </c>
      <c r="G29" s="50">
        <f t="shared" si="5"/>
        <v>12872.703738730555</v>
      </c>
      <c r="H29" s="50">
        <f t="shared" si="4"/>
        <v>14947.209608452289</v>
      </c>
      <c r="I29" s="18"/>
      <c r="K29" s="39"/>
      <c r="L29" s="17"/>
      <c r="M29" s="17" t="b">
        <f t="shared" si="6"/>
        <v>0</v>
      </c>
      <c r="N29" s="17" t="b">
        <f t="shared" si="7"/>
        <v>0</v>
      </c>
      <c r="O29" s="17"/>
      <c r="P29" s="17"/>
      <c r="Q29" s="40"/>
    </row>
    <row r="30" spans="2:17">
      <c r="B30" s="16"/>
      <c r="C30" s="54">
        <f t="shared" si="0"/>
        <v>32</v>
      </c>
      <c r="D30" s="50">
        <f t="shared" si="1"/>
        <v>26318.635584716809</v>
      </c>
      <c r="E30" s="50">
        <f t="shared" si="2"/>
        <v>2105.4908467773448</v>
      </c>
      <c r="F30" s="50">
        <f t="shared" si="3"/>
        <v>2157.486104510604</v>
      </c>
      <c r="G30" s="50">
        <f t="shared" si="5"/>
        <v>15694.570088874903</v>
      </c>
      <c r="H30" s="50">
        <f t="shared" si="4"/>
        <v>17852.056193385506</v>
      </c>
      <c r="I30" s="18"/>
      <c r="K30" s="39"/>
      <c r="L30" s="17"/>
      <c r="M30" s="17" t="b">
        <f t="shared" si="6"/>
        <v>0</v>
      </c>
      <c r="N30" s="17" t="b">
        <f t="shared" si="7"/>
        <v>0</v>
      </c>
      <c r="O30" s="17"/>
      <c r="P30" s="17"/>
      <c r="Q30" s="40"/>
    </row>
    <row r="31" spans="2:17" ht="15" customHeight="1">
      <c r="B31" s="16"/>
      <c r="C31" s="54">
        <f t="shared" si="0"/>
        <v>33</v>
      </c>
      <c r="D31" s="50">
        <f t="shared" si="1"/>
        <v>27371.381008105483</v>
      </c>
      <c r="E31" s="50">
        <f t="shared" si="2"/>
        <v>2189.7104806484385</v>
      </c>
      <c r="F31" s="50">
        <f t="shared" si="3"/>
        <v>2243.785548691028</v>
      </c>
      <c r="G31" s="50">
        <f t="shared" si="5"/>
        <v>18744.659003054781</v>
      </c>
      <c r="H31" s="50">
        <f t="shared" si="4"/>
        <v>20988.444551745808</v>
      </c>
      <c r="I31" s="18"/>
      <c r="K31" s="39"/>
      <c r="L31" s="17"/>
      <c r="M31" s="17" t="b">
        <f t="shared" si="6"/>
        <v>0</v>
      </c>
      <c r="N31" s="17" t="b">
        <f t="shared" si="7"/>
        <v>0</v>
      </c>
      <c r="O31" s="17"/>
      <c r="P31" s="17"/>
      <c r="Q31" s="40"/>
    </row>
    <row r="32" spans="2:17">
      <c r="B32" s="16"/>
      <c r="C32" s="54">
        <f t="shared" si="0"/>
        <v>34</v>
      </c>
      <c r="D32" s="50">
        <f t="shared" si="1"/>
        <v>28466.236248429705</v>
      </c>
      <c r="E32" s="50">
        <f t="shared" si="2"/>
        <v>2277.2988998743763</v>
      </c>
      <c r="F32" s="50">
        <f t="shared" si="3"/>
        <v>2333.5369706386691</v>
      </c>
      <c r="G32" s="50">
        <f t="shared" si="5"/>
        <v>22037.866779333101</v>
      </c>
      <c r="H32" s="50">
        <f t="shared" si="4"/>
        <v>24371.403749971771</v>
      </c>
      <c r="I32" s="18"/>
      <c r="K32" s="39"/>
      <c r="L32" s="17"/>
      <c r="M32" s="17" t="b">
        <f t="shared" si="6"/>
        <v>0</v>
      </c>
      <c r="N32" s="17" t="b">
        <f t="shared" si="7"/>
        <v>0</v>
      </c>
      <c r="O32" s="17"/>
      <c r="P32" s="17"/>
      <c r="Q32" s="40"/>
    </row>
    <row r="33" spans="2:17">
      <c r="B33" s="16"/>
      <c r="C33" s="54">
        <f t="shared" si="0"/>
        <v>35</v>
      </c>
      <c r="D33" s="50">
        <f t="shared" si="1"/>
        <v>29604.885698366892</v>
      </c>
      <c r="E33" s="50">
        <f t="shared" si="2"/>
        <v>2368.3908558693515</v>
      </c>
      <c r="F33" s="50">
        <f t="shared" si="3"/>
        <v>2426.8784494642164</v>
      </c>
      <c r="G33" s="50">
        <f t="shared" si="5"/>
        <v>25589.97393747036</v>
      </c>
      <c r="H33" s="50">
        <f t="shared" si="4"/>
        <v>28016.852386934577</v>
      </c>
      <c r="I33" s="18"/>
      <c r="K33" s="39"/>
      <c r="L33" s="17"/>
      <c r="M33" s="17" t="b">
        <f t="shared" si="6"/>
        <v>0</v>
      </c>
      <c r="N33" s="17" t="b">
        <f t="shared" si="7"/>
        <v>0</v>
      </c>
      <c r="O33" s="17"/>
      <c r="P33" s="17"/>
      <c r="Q33" s="40"/>
    </row>
    <row r="34" spans="2:17">
      <c r="B34" s="16"/>
      <c r="C34" s="54">
        <f t="shared" si="0"/>
        <v>36</v>
      </c>
      <c r="D34" s="50">
        <f t="shared" si="1"/>
        <v>30789.081126301568</v>
      </c>
      <c r="E34" s="50">
        <f t="shared" si="2"/>
        <v>2463.1264901041254</v>
      </c>
      <c r="F34" s="50">
        <f t="shared" si="3"/>
        <v>2523.9535874427847</v>
      </c>
      <c r="G34" s="50">
        <f t="shared" si="5"/>
        <v>29417.695006281308</v>
      </c>
      <c r="H34" s="50">
        <f t="shared" si="4"/>
        <v>31941.648593724094</v>
      </c>
      <c r="I34" s="18"/>
      <c r="K34" s="39"/>
      <c r="L34" s="17"/>
      <c r="M34" s="17" t="b">
        <f t="shared" si="6"/>
        <v>0</v>
      </c>
      <c r="N34" s="17" t="b">
        <f t="shared" si="7"/>
        <v>0</v>
      </c>
      <c r="O34" s="17"/>
      <c r="P34" s="17"/>
      <c r="Q34" s="40"/>
    </row>
    <row r="35" spans="2:17">
      <c r="B35" s="16"/>
      <c r="C35" s="54">
        <f t="shared" si="0"/>
        <v>37</v>
      </c>
      <c r="D35" s="50">
        <f t="shared" si="1"/>
        <v>32020.644371353632</v>
      </c>
      <c r="E35" s="50">
        <f t="shared" si="2"/>
        <v>2561.6515497082905</v>
      </c>
      <c r="F35" s="50">
        <f t="shared" si="3"/>
        <v>2624.911730940496</v>
      </c>
      <c r="G35" s="50">
        <f t="shared" si="5"/>
        <v>33538.731023410299</v>
      </c>
      <c r="H35" s="50">
        <f t="shared" si="4"/>
        <v>36163.642754350796</v>
      </c>
      <c r="I35" s="18"/>
      <c r="K35" s="39"/>
      <c r="L35" s="17"/>
      <c r="M35" s="17" t="b">
        <f t="shared" si="6"/>
        <v>0</v>
      </c>
      <c r="N35" s="17" t="b">
        <f t="shared" si="7"/>
        <v>0</v>
      </c>
      <c r="O35" s="17"/>
      <c r="P35" s="17"/>
      <c r="Q35" s="40"/>
    </row>
    <row r="36" spans="2:17">
      <c r="B36" s="16"/>
      <c r="C36" s="54">
        <f t="shared" si="0"/>
        <v>38</v>
      </c>
      <c r="D36" s="50">
        <f t="shared" si="1"/>
        <v>33301.470146207779</v>
      </c>
      <c r="E36" s="50">
        <f t="shared" si="2"/>
        <v>2664.1176116966226</v>
      </c>
      <c r="F36" s="50">
        <f t="shared" si="3"/>
        <v>2729.9082001781167</v>
      </c>
      <c r="G36" s="50">
        <f t="shared" si="5"/>
        <v>37971.82489206834</v>
      </c>
      <c r="H36" s="50">
        <f t="shared" si="4"/>
        <v>40701.733092246453</v>
      </c>
      <c r="I36" s="18"/>
      <c r="K36" s="39"/>
      <c r="L36" s="17"/>
      <c r="M36" s="17" t="b">
        <f t="shared" si="6"/>
        <v>0</v>
      </c>
      <c r="N36" s="17" t="b">
        <f t="shared" si="7"/>
        <v>0</v>
      </c>
      <c r="O36" s="17"/>
      <c r="P36" s="17"/>
      <c r="Q36" s="40"/>
    </row>
    <row r="37" spans="2:17">
      <c r="B37" s="16"/>
      <c r="C37" s="54">
        <f t="shared" si="0"/>
        <v>39</v>
      </c>
      <c r="D37" s="50">
        <f t="shared" si="1"/>
        <v>34633.528952056091</v>
      </c>
      <c r="E37" s="50">
        <f t="shared" si="2"/>
        <v>2770.6823161644875</v>
      </c>
      <c r="F37" s="50">
        <f t="shared" si="3"/>
        <v>2839.1045281852412</v>
      </c>
      <c r="G37" s="50">
        <f t="shared" si="5"/>
        <v>42736.819746858775</v>
      </c>
      <c r="H37" s="50">
        <f t="shared" si="4"/>
        <v>45575.924275044017</v>
      </c>
      <c r="I37" s="18"/>
      <c r="K37" s="39"/>
      <c r="L37" s="17"/>
      <c r="M37" s="17" t="b">
        <f t="shared" si="6"/>
        <v>0</v>
      </c>
      <c r="N37" s="17" t="b">
        <f t="shared" si="7"/>
        <v>0</v>
      </c>
      <c r="O37" s="17"/>
      <c r="P37" s="17"/>
      <c r="Q37" s="40"/>
    </row>
    <row r="38" spans="2:17">
      <c r="B38" s="16"/>
      <c r="C38" s="54">
        <f t="shared" si="0"/>
        <v>40</v>
      </c>
      <c r="D38" s="50">
        <f t="shared" si="1"/>
        <v>36018.870110138334</v>
      </c>
      <c r="E38" s="50">
        <f t="shared" si="2"/>
        <v>2881.5096088110668</v>
      </c>
      <c r="F38" s="50">
        <f t="shared" si="3"/>
        <v>2952.6687093126507</v>
      </c>
      <c r="G38" s="50">
        <f t="shared" si="5"/>
        <v>47854.720488796222</v>
      </c>
      <c r="H38" s="50">
        <f t="shared" si="4"/>
        <v>50807.389198108875</v>
      </c>
      <c r="I38" s="18"/>
      <c r="K38" s="39"/>
      <c r="L38" s="17"/>
      <c r="M38" s="17" t="b">
        <f t="shared" si="6"/>
        <v>0</v>
      </c>
      <c r="N38" s="17" t="b">
        <f t="shared" si="7"/>
        <v>0</v>
      </c>
      <c r="O38" s="17"/>
      <c r="P38" s="17"/>
      <c r="Q38" s="40"/>
    </row>
    <row r="39" spans="2:17">
      <c r="B39" s="16"/>
      <c r="C39" s="54">
        <f t="shared" si="0"/>
        <v>41</v>
      </c>
      <c r="D39" s="50">
        <f t="shared" si="1"/>
        <v>37459.624914543871</v>
      </c>
      <c r="E39" s="50">
        <f t="shared" si="2"/>
        <v>2996.7699931635098</v>
      </c>
      <c r="F39" s="50">
        <f t="shared" si="3"/>
        <v>3070.7754576851571</v>
      </c>
      <c r="G39" s="50">
        <f t="shared" si="5"/>
        <v>53347.758658014318</v>
      </c>
      <c r="H39" s="50">
        <f t="shared" si="4"/>
        <v>56418.534115699476</v>
      </c>
      <c r="I39" s="18"/>
      <c r="K39" s="39"/>
      <c r="L39" s="17"/>
      <c r="M39" s="17" t="b">
        <f t="shared" si="6"/>
        <v>0</v>
      </c>
      <c r="N39" s="17" t="b">
        <f t="shared" si="7"/>
        <v>0</v>
      </c>
      <c r="O39" s="17"/>
      <c r="P39" s="17"/>
      <c r="Q39" s="40"/>
    </row>
    <row r="40" spans="2:17">
      <c r="B40" s="16"/>
      <c r="C40" s="54">
        <f t="shared" si="0"/>
        <v>42</v>
      </c>
      <c r="D40" s="50">
        <f t="shared" si="1"/>
        <v>38958.009911125628</v>
      </c>
      <c r="E40" s="50">
        <f t="shared" si="2"/>
        <v>3116.6407928900503</v>
      </c>
      <c r="F40" s="50">
        <f t="shared" si="3"/>
        <v>3193.6064759925634</v>
      </c>
      <c r="G40" s="50">
        <f t="shared" si="5"/>
        <v>59239.460821484456</v>
      </c>
      <c r="H40" s="50">
        <f t="shared" si="4"/>
        <v>62433.06729747702</v>
      </c>
      <c r="I40" s="18"/>
      <c r="K40" s="39"/>
      <c r="L40" s="17"/>
      <c r="M40" s="17" t="b">
        <f t="shared" si="6"/>
        <v>0</v>
      </c>
      <c r="N40" s="17" t="b">
        <f t="shared" si="7"/>
        <v>0</v>
      </c>
      <c r="O40" s="17"/>
      <c r="P40" s="17"/>
      <c r="Q40" s="40"/>
    </row>
    <row r="41" spans="2:17">
      <c r="B41" s="16"/>
      <c r="C41" s="54">
        <f t="shared" si="0"/>
        <v>43</v>
      </c>
      <c r="D41" s="50">
        <f t="shared" si="1"/>
        <v>40516.330307570657</v>
      </c>
      <c r="E41" s="50">
        <f t="shared" si="2"/>
        <v>3241.3064246056529</v>
      </c>
      <c r="F41" s="50">
        <f t="shared" si="3"/>
        <v>3321.3507350322666</v>
      </c>
      <c r="G41" s="50">
        <f t="shared" si="5"/>
        <v>65554.720662350868</v>
      </c>
      <c r="H41" s="50">
        <f t="shared" si="4"/>
        <v>68876.07139738313</v>
      </c>
      <c r="I41" s="18"/>
      <c r="K41" s="39"/>
      <c r="L41" s="17"/>
      <c r="M41" s="17" t="b">
        <f t="shared" si="6"/>
        <v>0</v>
      </c>
      <c r="N41" s="17" t="b">
        <f t="shared" si="7"/>
        <v>0</v>
      </c>
      <c r="O41" s="17"/>
      <c r="P41" s="17"/>
      <c r="Q41" s="40"/>
    </row>
    <row r="42" spans="2:17">
      <c r="B42" s="16"/>
      <c r="C42" s="54">
        <f t="shared" si="0"/>
        <v>44</v>
      </c>
      <c r="D42" s="50">
        <f t="shared" si="1"/>
        <v>42136.983519873487</v>
      </c>
      <c r="E42" s="50">
        <f t="shared" si="2"/>
        <v>3370.9586815898792</v>
      </c>
      <c r="F42" s="50">
        <f t="shared" si="3"/>
        <v>3454.2047644335576</v>
      </c>
      <c r="G42" s="50">
        <f t="shared" si="5"/>
        <v>72319.874967252283</v>
      </c>
      <c r="H42" s="50">
        <f t="shared" si="4"/>
        <v>75774.079731685837</v>
      </c>
      <c r="I42" s="18"/>
      <c r="K42" s="39"/>
      <c r="L42" s="17"/>
      <c r="M42" s="17" t="b">
        <f t="shared" si="6"/>
        <v>0</v>
      </c>
      <c r="N42" s="17" t="b">
        <f t="shared" si="7"/>
        <v>0</v>
      </c>
      <c r="O42" s="17"/>
      <c r="P42" s="17"/>
      <c r="Q42" s="40"/>
    </row>
    <row r="43" spans="2:17">
      <c r="B43" s="16"/>
      <c r="C43" s="54">
        <f t="shared" si="0"/>
        <v>45</v>
      </c>
      <c r="D43" s="50">
        <f t="shared" si="1"/>
        <v>43822.462860668427</v>
      </c>
      <c r="E43" s="50">
        <f t="shared" si="2"/>
        <v>3505.7970288534743</v>
      </c>
      <c r="F43" s="50">
        <f t="shared" si="3"/>
        <v>3592.3729550108997</v>
      </c>
      <c r="G43" s="50">
        <f t="shared" si="5"/>
        <v>79562.783718270133</v>
      </c>
      <c r="H43" s="50">
        <f t="shared" si="4"/>
        <v>83155.156673281032</v>
      </c>
      <c r="I43" s="18"/>
      <c r="K43" s="39"/>
      <c r="L43" s="17"/>
      <c r="M43" s="17" t="b">
        <f t="shared" si="6"/>
        <v>0</v>
      </c>
      <c r="N43" s="17" t="b">
        <f t="shared" si="7"/>
        <v>0</v>
      </c>
      <c r="O43" s="17"/>
      <c r="P43" s="17"/>
      <c r="Q43" s="40"/>
    </row>
    <row r="44" spans="2:17">
      <c r="B44" s="16"/>
      <c r="C44" s="54">
        <f t="shared" si="0"/>
        <v>46</v>
      </c>
      <c r="D44" s="50">
        <f t="shared" si="1"/>
        <v>45575.361375095163</v>
      </c>
      <c r="E44" s="50">
        <f t="shared" si="2"/>
        <v>3646.0289100076129</v>
      </c>
      <c r="F44" s="50">
        <f t="shared" si="3"/>
        <v>3736.0678732113352</v>
      </c>
      <c r="G44" s="50">
        <f t="shared" si="5"/>
        <v>87312.91450694509</v>
      </c>
      <c r="H44" s="50">
        <f t="shared" si="4"/>
        <v>91048.98238015642</v>
      </c>
      <c r="I44" s="18"/>
      <c r="K44" s="39"/>
      <c r="L44" s="17"/>
      <c r="M44" s="17" t="b">
        <f t="shared" si="6"/>
        <v>0</v>
      </c>
      <c r="N44" s="17" t="b">
        <f t="shared" si="7"/>
        <v>0</v>
      </c>
      <c r="O44" s="17"/>
      <c r="P44" s="17"/>
      <c r="Q44" s="40"/>
    </row>
    <row r="45" spans="2:17">
      <c r="B45" s="16"/>
      <c r="C45" s="54">
        <f t="shared" si="0"/>
        <v>47</v>
      </c>
      <c r="D45" s="50">
        <f t="shared" si="1"/>
        <v>47398.375830098972</v>
      </c>
      <c r="E45" s="50">
        <f t="shared" si="2"/>
        <v>3791.8700664079179</v>
      </c>
      <c r="F45" s="50">
        <f t="shared" si="3"/>
        <v>3885.510588139789</v>
      </c>
      <c r="G45" s="50">
        <f t="shared" si="5"/>
        <v>95601.431499164246</v>
      </c>
      <c r="H45" s="50">
        <f t="shared" si="4"/>
        <v>99486.942087304036</v>
      </c>
      <c r="I45" s="18"/>
      <c r="K45" s="39"/>
      <c r="L45" s="17"/>
      <c r="M45" s="17" t="b">
        <f t="shared" si="6"/>
        <v>0</v>
      </c>
      <c r="N45" s="17" t="b">
        <f t="shared" si="7"/>
        <v>0</v>
      </c>
      <c r="O45" s="17"/>
      <c r="P45" s="17"/>
      <c r="Q45" s="40"/>
    </row>
    <row r="46" spans="2:17">
      <c r="B46" s="16"/>
      <c r="C46" s="54">
        <f t="shared" si="0"/>
        <v>48</v>
      </c>
      <c r="D46" s="50">
        <f t="shared" si="1"/>
        <v>49294.310863302933</v>
      </c>
      <c r="E46" s="50">
        <f t="shared" si="2"/>
        <v>3943.5448690642347</v>
      </c>
      <c r="F46" s="50">
        <f t="shared" si="3"/>
        <v>4040.931011665381</v>
      </c>
      <c r="G46" s="50">
        <f t="shared" si="5"/>
        <v>104461.28919166925</v>
      </c>
      <c r="H46" s="50">
        <f t="shared" si="4"/>
        <v>108502.22020333463</v>
      </c>
      <c r="I46" s="18"/>
      <c r="K46" s="39"/>
      <c r="L46" s="17"/>
      <c r="M46" s="17" t="b">
        <f t="shared" si="6"/>
        <v>0</v>
      </c>
      <c r="N46" s="17" t="b">
        <f t="shared" si="7"/>
        <v>0</v>
      </c>
      <c r="O46" s="17"/>
      <c r="P46" s="17"/>
      <c r="Q46" s="40"/>
    </row>
    <row r="47" spans="2:17">
      <c r="B47" s="16"/>
      <c r="C47" s="54">
        <f t="shared" si="0"/>
        <v>49</v>
      </c>
      <c r="D47" s="50">
        <f t="shared" si="1"/>
        <v>51266.083297835052</v>
      </c>
      <c r="E47" s="50">
        <f t="shared" si="2"/>
        <v>4101.2866638268042</v>
      </c>
      <c r="F47" s="50">
        <f t="shared" si="3"/>
        <v>4202.5682521319959</v>
      </c>
      <c r="G47" s="50">
        <f t="shared" si="5"/>
        <v>113927.33121350135</v>
      </c>
      <c r="H47" s="50">
        <f t="shared" si="4"/>
        <v>118129.89946563335</v>
      </c>
      <c r="I47" s="18"/>
      <c r="K47" s="39"/>
      <c r="L47" s="17"/>
      <c r="M47" s="17" t="b">
        <f t="shared" si="6"/>
        <v>0</v>
      </c>
      <c r="N47" s="17" t="b">
        <f t="shared" si="7"/>
        <v>0</v>
      </c>
      <c r="O47" s="17"/>
      <c r="P47" s="17"/>
      <c r="Q47" s="40"/>
    </row>
    <row r="48" spans="2:17">
      <c r="B48" s="16"/>
      <c r="C48" s="54">
        <f t="shared" si="0"/>
        <v>50</v>
      </c>
      <c r="D48" s="50">
        <f t="shared" si="1"/>
        <v>53316.726629748453</v>
      </c>
      <c r="E48" s="50">
        <f t="shared" si="2"/>
        <v>4265.338130379876</v>
      </c>
      <c r="F48" s="50">
        <f t="shared" si="3"/>
        <v>4370.6709822172752</v>
      </c>
      <c r="G48" s="50">
        <f t="shared" si="5"/>
        <v>124036.39443891503</v>
      </c>
      <c r="H48" s="50">
        <f t="shared" si="4"/>
        <v>128407.0654211323</v>
      </c>
      <c r="I48" s="18"/>
      <c r="K48" s="39"/>
      <c r="L48" s="17"/>
      <c r="M48" s="17" t="b">
        <f t="shared" si="6"/>
        <v>0</v>
      </c>
      <c r="N48" s="17" t="b">
        <f t="shared" si="7"/>
        <v>0</v>
      </c>
      <c r="O48" s="17"/>
      <c r="P48" s="17"/>
      <c r="Q48" s="40"/>
    </row>
    <row r="49" spans="2:17">
      <c r="B49" s="16"/>
      <c r="C49" s="54">
        <f t="shared" si="0"/>
        <v>51</v>
      </c>
      <c r="D49" s="50">
        <f t="shared" si="1"/>
        <v>55449.395694938394</v>
      </c>
      <c r="E49" s="50">
        <f t="shared" si="2"/>
        <v>4435.9516555950713</v>
      </c>
      <c r="F49" s="50">
        <f t="shared" si="3"/>
        <v>4545.4978215059673</v>
      </c>
      <c r="G49" s="50">
        <f t="shared" si="5"/>
        <v>134827.41869218892</v>
      </c>
      <c r="H49" s="50">
        <f t="shared" si="4"/>
        <v>139372.91651369489</v>
      </c>
      <c r="I49" s="18"/>
      <c r="K49" s="39"/>
      <c r="L49" s="17"/>
      <c r="M49" s="17" t="b">
        <f t="shared" si="6"/>
        <v>0</v>
      </c>
      <c r="N49" s="17" t="b">
        <f t="shared" si="7"/>
        <v>0</v>
      </c>
      <c r="O49" s="17"/>
      <c r="P49" s="17"/>
      <c r="Q49" s="40"/>
    </row>
    <row r="50" spans="2:17">
      <c r="B50" s="16"/>
      <c r="C50" s="54">
        <f t="shared" si="0"/>
        <v>52</v>
      </c>
      <c r="D50" s="50">
        <f t="shared" si="1"/>
        <v>57667.371522735928</v>
      </c>
      <c r="E50" s="50">
        <f t="shared" si="2"/>
        <v>4613.389721818874</v>
      </c>
      <c r="F50" s="50">
        <f t="shared" si="3"/>
        <v>4727.3177343662055</v>
      </c>
      <c r="G50" s="50">
        <f t="shared" si="5"/>
        <v>146341.56233937963</v>
      </c>
      <c r="H50" s="50">
        <f t="shared" si="4"/>
        <v>151068.88007374582</v>
      </c>
      <c r="I50" s="18"/>
      <c r="K50" s="39"/>
      <c r="L50" s="17"/>
      <c r="M50" s="17" t="b">
        <f t="shared" si="6"/>
        <v>0</v>
      </c>
      <c r="N50" s="17" t="b">
        <f t="shared" si="7"/>
        <v>0</v>
      </c>
      <c r="O50" s="17"/>
      <c r="P50" s="17"/>
      <c r="Q50" s="40"/>
    </row>
    <row r="51" spans="2:17">
      <c r="B51" s="16"/>
      <c r="C51" s="54">
        <f t="shared" si="0"/>
        <v>53</v>
      </c>
      <c r="D51" s="50">
        <f t="shared" si="1"/>
        <v>59974.066383645368</v>
      </c>
      <c r="E51" s="50">
        <f t="shared" si="2"/>
        <v>4797.9253106916294</v>
      </c>
      <c r="F51" s="50">
        <f t="shared" si="3"/>
        <v>4916.4104437408541</v>
      </c>
      <c r="G51" s="50">
        <f t="shared" si="5"/>
        <v>158622.32407743312</v>
      </c>
      <c r="H51" s="50">
        <f t="shared" si="4"/>
        <v>163538.73452117399</v>
      </c>
      <c r="I51" s="18"/>
      <c r="K51" s="39"/>
      <c r="L51" s="17"/>
      <c r="M51" s="17" t="b">
        <f t="shared" si="6"/>
        <v>0</v>
      </c>
      <c r="N51" s="17" t="b">
        <f t="shared" si="7"/>
        <v>0</v>
      </c>
      <c r="O51" s="17"/>
      <c r="P51" s="17"/>
      <c r="Q51" s="40"/>
    </row>
    <row r="52" spans="2:17">
      <c r="B52" s="16"/>
      <c r="C52" s="54">
        <f t="shared" si="0"/>
        <v>54</v>
      </c>
      <c r="D52" s="50">
        <f t="shared" si="1"/>
        <v>62373.029038991182</v>
      </c>
      <c r="E52" s="50">
        <f t="shared" si="2"/>
        <v>4989.8423231192946</v>
      </c>
      <c r="F52" s="50">
        <f t="shared" si="3"/>
        <v>5113.066861490488</v>
      </c>
      <c r="G52" s="50">
        <f t="shared" si="5"/>
        <v>171715.67124723271</v>
      </c>
      <c r="H52" s="50">
        <f t="shared" si="4"/>
        <v>176828.73810872319</v>
      </c>
      <c r="I52" s="18"/>
      <c r="K52" s="39"/>
      <c r="L52" s="17"/>
      <c r="M52" s="17" t="b">
        <f t="shared" si="6"/>
        <v>0</v>
      </c>
      <c r="N52" s="17" t="b">
        <f t="shared" si="7"/>
        <v>0</v>
      </c>
      <c r="O52" s="17"/>
      <c r="P52" s="17"/>
      <c r="Q52" s="40"/>
    </row>
    <row r="53" spans="2:17">
      <c r="B53" s="16"/>
      <c r="C53" s="54">
        <f t="shared" si="0"/>
        <v>55</v>
      </c>
      <c r="D53" s="50">
        <f t="shared" si="1"/>
        <v>64867.950200550833</v>
      </c>
      <c r="E53" s="50">
        <f t="shared" si="2"/>
        <v>5189.4360160440665</v>
      </c>
      <c r="F53" s="50">
        <f t="shared" si="3"/>
        <v>5317.5895359501083</v>
      </c>
      <c r="G53" s="50">
        <f t="shared" si="5"/>
        <v>185670.17501415935</v>
      </c>
      <c r="H53" s="50">
        <f t="shared" si="4"/>
        <v>190987.76455010945</v>
      </c>
      <c r="I53" s="18"/>
      <c r="K53" s="39"/>
      <c r="L53" s="17"/>
      <c r="M53" s="17" t="b">
        <f t="shared" si="6"/>
        <v>0</v>
      </c>
      <c r="N53" s="17" t="b">
        <f t="shared" si="7"/>
        <v>0</v>
      </c>
      <c r="O53" s="17"/>
      <c r="P53" s="17"/>
      <c r="Q53" s="40"/>
    </row>
    <row r="54" spans="2:17">
      <c r="B54" s="16"/>
      <c r="C54" s="54">
        <f t="shared" si="0"/>
        <v>56</v>
      </c>
      <c r="D54" s="50">
        <f t="shared" si="1"/>
        <v>67462.668208572868</v>
      </c>
      <c r="E54" s="50">
        <f t="shared" si="2"/>
        <v>5397.0134566858296</v>
      </c>
      <c r="F54" s="50">
        <f t="shared" si="3"/>
        <v>5530.2931173881125</v>
      </c>
      <c r="G54" s="50">
        <f t="shared" si="5"/>
        <v>200537.15277761495</v>
      </c>
      <c r="H54" s="50">
        <f t="shared" si="4"/>
        <v>206067.44589500307</v>
      </c>
      <c r="I54" s="18"/>
      <c r="K54" s="39"/>
      <c r="L54" s="17"/>
      <c r="M54" s="17" t="b">
        <f t="shared" si="6"/>
        <v>0</v>
      </c>
      <c r="N54" s="17" t="b">
        <f t="shared" si="7"/>
        <v>0</v>
      </c>
      <c r="O54" s="17"/>
      <c r="P54" s="17"/>
      <c r="Q54" s="40"/>
    </row>
    <row r="55" spans="2:17">
      <c r="B55" s="16"/>
      <c r="C55" s="54">
        <f t="shared" si="0"/>
        <v>57</v>
      </c>
      <c r="D55" s="50">
        <f t="shared" si="1"/>
        <v>70161.174936915791</v>
      </c>
      <c r="E55" s="50">
        <f t="shared" si="2"/>
        <v>5612.8939949532632</v>
      </c>
      <c r="F55" s="50">
        <f t="shared" si="3"/>
        <v>5751.5048420836374</v>
      </c>
      <c r="G55" s="50">
        <f t="shared" si="5"/>
        <v>216370.81818975322</v>
      </c>
      <c r="H55" s="50">
        <f t="shared" si="4"/>
        <v>222122.32303183686</v>
      </c>
      <c r="I55" s="18"/>
      <c r="K55" s="39"/>
      <c r="L55" s="17"/>
      <c r="M55" s="17" t="b">
        <f t="shared" si="6"/>
        <v>0</v>
      </c>
      <c r="N55" s="17" t="b">
        <f t="shared" si="7"/>
        <v>0</v>
      </c>
      <c r="O55" s="17"/>
      <c r="P55" s="17"/>
      <c r="Q55" s="40"/>
    </row>
    <row r="56" spans="2:17">
      <c r="B56" s="16"/>
      <c r="C56" s="54">
        <f t="shared" si="0"/>
        <v>58</v>
      </c>
      <c r="D56" s="50">
        <f t="shared" si="1"/>
        <v>72967.621934392431</v>
      </c>
      <c r="E56" s="50">
        <f t="shared" si="2"/>
        <v>5837.4097547513948</v>
      </c>
      <c r="F56" s="50">
        <f t="shared" si="3"/>
        <v>5981.5650357669838</v>
      </c>
      <c r="G56" s="50">
        <f t="shared" si="5"/>
        <v>233228.43918342871</v>
      </c>
      <c r="H56" s="50">
        <f t="shared" si="4"/>
        <v>239210.00421919569</v>
      </c>
      <c r="I56" s="18"/>
      <c r="K56" s="39"/>
      <c r="L56" s="17"/>
      <c r="M56" s="17" t="b">
        <f t="shared" si="6"/>
        <v>0</v>
      </c>
      <c r="N56" s="17" t="b">
        <f t="shared" si="7"/>
        <v>0</v>
      </c>
      <c r="O56" s="17"/>
      <c r="P56" s="17"/>
      <c r="Q56" s="40"/>
    </row>
    <row r="57" spans="2:17">
      <c r="B57" s="16"/>
      <c r="C57" s="54">
        <f t="shared" si="0"/>
        <v>59</v>
      </c>
      <c r="D57" s="50">
        <f t="shared" si="1"/>
        <v>75886.326811768129</v>
      </c>
      <c r="E57" s="50">
        <f t="shared" si="2"/>
        <v>6070.9061449414503</v>
      </c>
      <c r="F57" s="50">
        <f t="shared" si="3"/>
        <v>6220.8276371976635</v>
      </c>
      <c r="G57" s="50">
        <f t="shared" si="5"/>
        <v>251170.50443015547</v>
      </c>
      <c r="H57" s="50">
        <f t="shared" si="4"/>
        <v>257391.33206735313</v>
      </c>
      <c r="I57" s="18"/>
      <c r="K57" s="39"/>
      <c r="L57" s="17"/>
      <c r="M57" s="17" t="b">
        <f t="shared" si="6"/>
        <v>0</v>
      </c>
      <c r="N57" s="17" t="b">
        <f t="shared" si="7"/>
        <v>0</v>
      </c>
      <c r="O57" s="17"/>
      <c r="P57" s="17"/>
      <c r="Q57" s="40"/>
    </row>
    <row r="58" spans="2:17">
      <c r="B58" s="16"/>
      <c r="C58" s="54">
        <f t="shared" si="0"/>
        <v>60</v>
      </c>
      <c r="D58" s="50">
        <f t="shared" si="1"/>
        <v>78921.779884238858</v>
      </c>
      <c r="E58" s="50">
        <f t="shared" si="2"/>
        <v>6313.7423907391085</v>
      </c>
      <c r="F58" s="50">
        <f t="shared" si="3"/>
        <v>6469.6607426855699</v>
      </c>
      <c r="G58" s="50">
        <f t="shared" si="5"/>
        <v>270260.89867072081</v>
      </c>
      <c r="H58" s="50">
        <f t="shared" si="4"/>
        <v>276730.55941340636</v>
      </c>
      <c r="I58" s="18"/>
      <c r="K58" s="39"/>
      <c r="L58" s="17"/>
      <c r="M58" s="17" t="b">
        <f t="shared" si="6"/>
        <v>0</v>
      </c>
      <c r="N58" s="17" t="b">
        <f t="shared" si="7"/>
        <v>0</v>
      </c>
      <c r="O58" s="17"/>
      <c r="P58" s="17"/>
      <c r="Q58" s="40"/>
    </row>
    <row r="59" spans="2:17">
      <c r="B59" s="16"/>
      <c r="C59" s="54">
        <f t="shared" si="0"/>
        <v>61</v>
      </c>
      <c r="D59" s="50">
        <f t="shared" si="1"/>
        <v>82078.651079608419</v>
      </c>
      <c r="E59" s="50">
        <f t="shared" si="2"/>
        <v>6566.2920863686741</v>
      </c>
      <c r="F59" s="50">
        <f t="shared" si="3"/>
        <v>6728.4471723929937</v>
      </c>
      <c r="G59" s="50">
        <f t="shared" si="5"/>
        <v>290567.08738407667</v>
      </c>
      <c r="H59" s="50">
        <f t="shared" si="4"/>
        <v>297295.53455646965</v>
      </c>
      <c r="I59" s="18"/>
      <c r="K59" s="39"/>
      <c r="L59" s="17"/>
      <c r="M59" s="17" t="b">
        <f t="shared" si="6"/>
        <v>0</v>
      </c>
      <c r="N59" s="17" t="b">
        <f t="shared" si="7"/>
        <v>0</v>
      </c>
      <c r="O59" s="17"/>
      <c r="P59" s="17"/>
      <c r="Q59" s="40"/>
    </row>
    <row r="60" spans="2:17">
      <c r="B60" s="16"/>
      <c r="C60" s="54">
        <f t="shared" si="0"/>
        <v>62</v>
      </c>
      <c r="D60" s="50">
        <f t="shared" si="1"/>
        <v>85361.797122792763</v>
      </c>
      <c r="E60" s="50">
        <f t="shared" si="2"/>
        <v>6828.9437698234215</v>
      </c>
      <c r="F60" s="50">
        <f t="shared" si="3"/>
        <v>6997.5850592887145</v>
      </c>
      <c r="G60" s="50">
        <f t="shared" si="5"/>
        <v>312160.31128429313</v>
      </c>
      <c r="H60" s="50">
        <f t="shared" si="4"/>
        <v>319157.89634358184</v>
      </c>
      <c r="I60" s="18"/>
      <c r="K60" s="39"/>
      <c r="L60" s="17"/>
      <c r="M60" s="17" t="b">
        <f t="shared" si="6"/>
        <v>0</v>
      </c>
      <c r="N60" s="17" t="b">
        <f t="shared" si="7"/>
        <v>0</v>
      </c>
      <c r="O60" s="17"/>
      <c r="P60" s="17"/>
      <c r="Q60" s="40"/>
    </row>
    <row r="61" spans="2:17">
      <c r="B61" s="16"/>
      <c r="C61" s="54">
        <f t="shared" si="0"/>
        <v>63</v>
      </c>
      <c r="D61" s="50">
        <f t="shared" si="1"/>
        <v>88776.269007704483</v>
      </c>
      <c r="E61" s="50">
        <f t="shared" si="2"/>
        <v>7102.1015206163584</v>
      </c>
      <c r="F61" s="50">
        <f t="shared" si="3"/>
        <v>7277.4884616602631</v>
      </c>
      <c r="G61" s="50">
        <f t="shared" si="5"/>
        <v>335115.79116076097</v>
      </c>
      <c r="H61" s="50">
        <f t="shared" si="4"/>
        <v>342393.27962242125</v>
      </c>
      <c r="I61" s="18"/>
      <c r="K61" s="39"/>
      <c r="L61" s="17"/>
      <c r="M61" s="17" t="b">
        <f t="shared" si="6"/>
        <v>0</v>
      </c>
      <c r="N61" s="17" t="b">
        <f t="shared" si="7"/>
        <v>0</v>
      </c>
      <c r="O61" s="17"/>
      <c r="P61" s="17"/>
      <c r="Q61" s="40"/>
    </row>
    <row r="62" spans="2:17">
      <c r="B62" s="16"/>
      <c r="C62" s="54">
        <f t="shared" si="0"/>
        <v>64</v>
      </c>
      <c r="D62" s="50">
        <f t="shared" si="1"/>
        <v>92327.319768012661</v>
      </c>
      <c r="E62" s="50">
        <f t="shared" si="2"/>
        <v>7386.1855814410128</v>
      </c>
      <c r="F62" s="50">
        <f t="shared" si="3"/>
        <v>7568.5880001266733</v>
      </c>
      <c r="G62" s="50">
        <f t="shared" si="5"/>
        <v>359512.94360354234</v>
      </c>
      <c r="H62" s="50">
        <f t="shared" si="4"/>
        <v>367081.53160366899</v>
      </c>
      <c r="I62" s="18"/>
      <c r="K62" s="39"/>
      <c r="L62" s="17"/>
      <c r="M62" s="17" t="b">
        <f t="shared" si="6"/>
        <v>0</v>
      </c>
      <c r="N62" s="17" t="b">
        <f t="shared" si="7"/>
        <v>0</v>
      </c>
      <c r="O62" s="17"/>
      <c r="P62" s="17"/>
      <c r="Q62" s="40"/>
    </row>
    <row r="63" spans="2:17">
      <c r="B63" s="20"/>
      <c r="C63" s="35"/>
      <c r="D63" s="35"/>
      <c r="E63" s="35"/>
      <c r="F63" s="35"/>
      <c r="G63" s="35"/>
      <c r="H63" s="35"/>
      <c r="I63" s="21"/>
      <c r="K63" s="43"/>
      <c r="L63" s="117"/>
      <c r="M63" s="117"/>
      <c r="N63" s="117"/>
      <c r="O63" s="117"/>
      <c r="P63" s="117"/>
      <c r="Q63" s="45"/>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4" tint="0.79998168889431442"/>
  </sheetPr>
  <dimension ref="A1:Y63"/>
  <sheetViews>
    <sheetView showGridLines="0" zoomScale="80" zoomScaleNormal="80" workbookViewId="0"/>
  </sheetViews>
  <sheetFormatPr defaultRowHeight="15"/>
  <cols>
    <col min="1" max="1" width="3.28515625" customWidth="1"/>
    <col min="3" max="3" width="15.42578125" customWidth="1"/>
    <col min="4" max="4" width="15.140625" customWidth="1"/>
    <col min="5" max="5" width="18.5703125" customWidth="1"/>
    <col min="6" max="6" width="19" bestFit="1" customWidth="1"/>
    <col min="7" max="8" width="18.28515625" customWidth="1"/>
    <col min="10" max="11" width="3.28515625" customWidth="1"/>
    <col min="13" max="13" width="15.42578125" customWidth="1"/>
    <col min="14" max="14" width="15.140625" customWidth="1"/>
    <col min="15" max="15" width="18.5703125" customWidth="1"/>
    <col min="16" max="16" width="19" bestFit="1" customWidth="1"/>
    <col min="17" max="17" width="17.140625" bestFit="1" customWidth="1"/>
    <col min="18" max="18" width="17.140625" customWidth="1"/>
    <col min="20" max="20" width="3.28515625" customWidth="1"/>
    <col min="22" max="22" width="28.5703125" customWidth="1"/>
  </cols>
  <sheetData>
    <row r="1" spans="1:25" ht="23.25" thickBot="1">
      <c r="A1" s="3"/>
      <c r="B1" s="82" t="s">
        <v>41</v>
      </c>
      <c r="C1" s="3"/>
      <c r="D1" s="3"/>
      <c r="E1" s="3"/>
      <c r="F1" s="3"/>
      <c r="G1" s="3"/>
      <c r="H1" s="3"/>
      <c r="I1" s="3"/>
      <c r="J1" s="3"/>
      <c r="K1" s="3"/>
      <c r="L1" s="3"/>
      <c r="M1" s="3"/>
      <c r="N1" s="3"/>
      <c r="O1" s="3"/>
      <c r="P1" s="3"/>
      <c r="Q1" s="3"/>
      <c r="R1" s="3"/>
      <c r="S1" s="3"/>
      <c r="T1" s="3"/>
    </row>
    <row r="2" spans="1:25" ht="15.75" thickTop="1"/>
    <row r="3" spans="1:25">
      <c r="B3" s="10"/>
      <c r="C3" s="11"/>
      <c r="D3" s="11"/>
      <c r="E3" s="11"/>
      <c r="F3" s="11"/>
      <c r="G3" s="11"/>
      <c r="H3" s="11"/>
      <c r="I3" s="12"/>
      <c r="L3" s="10"/>
      <c r="M3" s="11"/>
      <c r="N3" s="11"/>
      <c r="O3" s="11"/>
      <c r="P3" s="11"/>
      <c r="Q3" s="11"/>
      <c r="R3" s="11"/>
      <c r="S3" s="12"/>
    </row>
    <row r="4" spans="1:25" ht="20.25" thickBot="1">
      <c r="A4" s="9"/>
      <c r="B4" s="13"/>
      <c r="C4" s="14" t="s">
        <v>39</v>
      </c>
      <c r="D4" s="14"/>
      <c r="E4" s="14"/>
      <c r="F4" s="14"/>
      <c r="G4" s="14"/>
      <c r="H4" s="14"/>
      <c r="I4" s="15"/>
      <c r="J4" s="9"/>
      <c r="K4" s="9"/>
      <c r="L4" s="13"/>
      <c r="M4" s="14" t="s">
        <v>40</v>
      </c>
      <c r="N4" s="14"/>
      <c r="O4" s="14"/>
      <c r="P4" s="14"/>
      <c r="Q4" s="14"/>
      <c r="R4" s="14"/>
      <c r="S4" s="15"/>
      <c r="T4" s="9"/>
    </row>
    <row r="5" spans="1:25" ht="15.75" thickTop="1">
      <c r="B5" s="16"/>
      <c r="C5" s="17"/>
      <c r="D5" s="17"/>
      <c r="E5" s="17"/>
      <c r="F5" s="17"/>
      <c r="G5" s="46" t="s">
        <v>38</v>
      </c>
      <c r="H5" s="46"/>
      <c r="I5" s="18"/>
      <c r="L5" s="16"/>
      <c r="M5" s="17"/>
      <c r="N5" s="17"/>
      <c r="O5" s="17"/>
      <c r="P5" s="17"/>
      <c r="Q5" s="46" t="s">
        <v>38</v>
      </c>
      <c r="R5" s="46"/>
      <c r="S5" s="18"/>
    </row>
    <row r="6" spans="1:25">
      <c r="B6" s="16"/>
      <c r="C6" s="17"/>
      <c r="D6" s="36"/>
      <c r="E6" s="37" t="s">
        <v>35</v>
      </c>
      <c r="F6" s="38">
        <f>CurrentAge</f>
        <v>25</v>
      </c>
      <c r="G6" s="55" t="str">
        <f>IF(F6=CurrentAge,"ok",IF(F6&lt;0,"Current Age must be greater than zero","Note: Parameter Override"))</f>
        <v>ok</v>
      </c>
      <c r="H6" s="55"/>
      <c r="I6" s="18"/>
      <c r="L6" s="16"/>
      <c r="M6" s="17"/>
      <c r="N6" s="36"/>
      <c r="O6" s="37" t="s">
        <v>35</v>
      </c>
      <c r="P6" s="38">
        <f>CurrentAge</f>
        <v>25</v>
      </c>
      <c r="Q6" s="55" t="str">
        <f>IF(P6=CurrentAge,"ok",IF(P6&lt;0,"Current Age must be greater than zero","Note: Parameter Override"))</f>
        <v>ok</v>
      </c>
      <c r="R6" s="55"/>
      <c r="S6" s="18"/>
    </row>
    <row r="7" spans="1:25">
      <c r="B7" s="16"/>
      <c r="C7" s="17"/>
      <c r="D7" s="39"/>
      <c r="E7" s="19" t="s">
        <v>34</v>
      </c>
      <c r="F7" s="40">
        <f>ContStartAge</f>
        <v>25</v>
      </c>
      <c r="G7" s="55" t="str">
        <f>IF(F7=ContStartAge,"ok","Note: Parameter Override")</f>
        <v>ok</v>
      </c>
      <c r="H7" s="55"/>
      <c r="I7" s="18"/>
      <c r="L7" s="16"/>
      <c r="M7" s="17"/>
      <c r="N7" s="39"/>
      <c r="O7" s="19" t="s">
        <v>34</v>
      </c>
      <c r="P7" s="40">
        <f>ContStartAge</f>
        <v>25</v>
      </c>
      <c r="Q7" s="55" t="str">
        <f>IF(P7=ContStartAge,"ok","Note: Parameter Override")</f>
        <v>ok</v>
      </c>
      <c r="R7" s="55"/>
      <c r="S7" s="18"/>
    </row>
    <row r="8" spans="1:25">
      <c r="B8" s="16"/>
      <c r="C8" s="17"/>
      <c r="D8" s="39"/>
      <c r="E8" s="19" t="s">
        <v>33</v>
      </c>
      <c r="F8" s="40">
        <f>RetirementAge</f>
        <v>65</v>
      </c>
      <c r="G8" s="55" t="str">
        <f>IF(F8&gt;MAX(C23:C62)+1,"Sheet will only work up to age "&amp;MAX(C23:C62)+1&amp;". Please copy formulae down to increase the maximum age",IF(F8&lt;F6,"Retirement Age must be greater than current age",IF(F8=RetirementAge,"ok","Note: Parameter Override")))</f>
        <v>ok</v>
      </c>
      <c r="H8" s="55"/>
      <c r="I8" s="18"/>
      <c r="L8" s="16"/>
      <c r="M8" s="17"/>
      <c r="N8" s="39"/>
      <c r="O8" s="19" t="s">
        <v>33</v>
      </c>
      <c r="P8" s="40">
        <f>RetirementAge</f>
        <v>65</v>
      </c>
      <c r="Q8" s="55" t="str">
        <f>IF(P8&gt;MAX(M23:M62)+1,"Sheet will only work up to age "&amp;MAX(M23:M62)+1&amp;". Please copy formulae down to increase the maximum age",IF(P8&lt;P6,"Retirement Age must be greater than current age",IF(P8=RetirementAge,"ok","Note: Parameter Override")))</f>
        <v>ok</v>
      </c>
      <c r="R8" s="55"/>
      <c r="S8" s="18"/>
    </row>
    <row r="9" spans="1:25">
      <c r="B9" s="16"/>
      <c r="C9" s="17"/>
      <c r="D9" s="39"/>
      <c r="E9" s="19" t="s">
        <v>5</v>
      </c>
      <c r="F9" s="41">
        <f>ContRate</f>
        <v>0.08</v>
      </c>
      <c r="G9" s="55" t="str">
        <f>IF(F9=ContRate,"ok","Note: Parameter Override")</f>
        <v>ok</v>
      </c>
      <c r="H9" s="55"/>
      <c r="I9" s="18"/>
      <c r="L9" s="16"/>
      <c r="M9" s="17"/>
      <c r="N9" s="39"/>
      <c r="O9" s="19" t="s">
        <v>5</v>
      </c>
      <c r="P9" s="41">
        <f>ContRate</f>
        <v>0.08</v>
      </c>
      <c r="Q9" s="55" t="str">
        <f>IF(P9=ContRate,"ok","Note: Parameter Override")</f>
        <v>ok</v>
      </c>
      <c r="R9" s="55"/>
      <c r="S9" s="18"/>
    </row>
    <row r="10" spans="1:25">
      <c r="B10" s="16"/>
      <c r="C10" s="17"/>
      <c r="D10" s="39"/>
      <c r="E10" s="19" t="s">
        <v>0</v>
      </c>
      <c r="F10" s="42">
        <f>StartSal</f>
        <v>20000</v>
      </c>
      <c r="G10" s="55" t="str">
        <f>IF(F10=StartSal,"ok","Note: Parameter Override")</f>
        <v>ok</v>
      </c>
      <c r="H10" s="55"/>
      <c r="I10" s="18"/>
      <c r="L10" s="16"/>
      <c r="M10" s="17"/>
      <c r="N10" s="39"/>
      <c r="O10" s="19" t="s">
        <v>0</v>
      </c>
      <c r="P10" s="42">
        <f>StartSal</f>
        <v>20000</v>
      </c>
      <c r="Q10" s="55" t="str">
        <f>IF(P10=StartSal,"ok","Note: Parameter Override")</f>
        <v>ok</v>
      </c>
      <c r="R10" s="55"/>
      <c r="S10" s="18"/>
    </row>
    <row r="11" spans="1:25">
      <c r="B11" s="16"/>
      <c r="C11" s="17"/>
      <c r="D11" s="39"/>
      <c r="E11" s="19" t="s">
        <v>1</v>
      </c>
      <c r="F11" s="41">
        <f>SalInc</f>
        <v>0.04</v>
      </c>
      <c r="G11" s="55" t="str">
        <f>IF(F11=SalInc,"ok","Note: Parameter Override")</f>
        <v>ok</v>
      </c>
      <c r="H11" s="55"/>
      <c r="I11" s="18"/>
      <c r="L11" s="16"/>
      <c r="M11" s="17"/>
      <c r="N11" s="39"/>
      <c r="O11" s="19" t="s">
        <v>1</v>
      </c>
      <c r="P11" s="41">
        <f>SalInc</f>
        <v>0.04</v>
      </c>
      <c r="Q11" s="55" t="str">
        <f>IF(P11=SalInc,"ok","Note: Parameter Override")</f>
        <v>ok</v>
      </c>
      <c r="R11" s="55"/>
      <c r="S11" s="18"/>
    </row>
    <row r="12" spans="1:25">
      <c r="B12" s="16"/>
      <c r="C12" s="17"/>
      <c r="D12" s="39"/>
      <c r="E12" s="19" t="s">
        <v>2</v>
      </c>
      <c r="F12" s="2">
        <v>2.5000000000000001E-2</v>
      </c>
      <c r="G12" s="55" t="str">
        <f>IF(F12=InvRet,"ok","Note: Parameter Override")</f>
        <v>Note: Parameter Override</v>
      </c>
      <c r="H12" s="55"/>
      <c r="I12" s="18"/>
      <c r="L12" s="16"/>
      <c r="M12" s="17"/>
      <c r="N12" s="39"/>
      <c r="O12" s="19" t="s">
        <v>2</v>
      </c>
      <c r="P12" s="2">
        <v>7.0000000000000007E-2</v>
      </c>
      <c r="Q12" s="55" t="str">
        <f>IF(P12=InvRet,"ok","Note: Parameter Override")</f>
        <v>Note: Parameter Override</v>
      </c>
      <c r="R12" s="55"/>
      <c r="S12" s="18"/>
    </row>
    <row r="13" spans="1:25">
      <c r="B13" s="16"/>
      <c r="C13" s="17"/>
      <c r="D13" s="39"/>
      <c r="E13" s="19" t="s">
        <v>3</v>
      </c>
      <c r="F13" s="41">
        <f>PriceInf</f>
        <v>2.5000000000000001E-2</v>
      </c>
      <c r="G13" s="55" t="str">
        <f>IF(F13=PriceInf,"ok","Note: Parameter Override")</f>
        <v>ok</v>
      </c>
      <c r="H13" s="55"/>
      <c r="I13" s="18"/>
      <c r="L13" s="16"/>
      <c r="M13" s="17"/>
      <c r="N13" s="39"/>
      <c r="O13" s="19" t="s">
        <v>3</v>
      </c>
      <c r="P13" s="41">
        <v>2.5000000000000001E-2</v>
      </c>
      <c r="Q13" s="55" t="str">
        <f>IF(P13=PriceInf,"ok","Note: Parameter Override")</f>
        <v>ok</v>
      </c>
      <c r="R13" s="55"/>
      <c r="S13" s="18"/>
    </row>
    <row r="14" spans="1:25">
      <c r="B14" s="16"/>
      <c r="C14" s="17"/>
      <c r="D14" s="39"/>
      <c r="E14" s="19" t="s">
        <v>10</v>
      </c>
      <c r="F14" s="40">
        <f>F8-F6</f>
        <v>40</v>
      </c>
      <c r="G14" s="17"/>
      <c r="H14" s="17"/>
      <c r="I14" s="18"/>
      <c r="L14" s="16"/>
      <c r="M14" s="17"/>
      <c r="N14" s="39"/>
      <c r="O14" s="19" t="s">
        <v>10</v>
      </c>
      <c r="P14" s="40">
        <f>P8-P6</f>
        <v>40</v>
      </c>
      <c r="Q14" s="17"/>
      <c r="R14" s="17"/>
      <c r="S14" s="18"/>
      <c r="V14" t="s">
        <v>116</v>
      </c>
    </row>
    <row r="15" spans="1:25">
      <c r="B15" s="16"/>
      <c r="C15" s="17"/>
      <c r="D15" s="43"/>
      <c r="E15" s="44" t="s">
        <v>37</v>
      </c>
      <c r="F15" s="45">
        <f>MATCH(H$22,C$22:H$22,0)</f>
        <v>6</v>
      </c>
      <c r="G15" s="17"/>
      <c r="H15" s="17"/>
      <c r="I15" s="18"/>
      <c r="L15" s="16"/>
      <c r="M15" s="17"/>
      <c r="N15" s="43"/>
      <c r="O15" s="44" t="s">
        <v>37</v>
      </c>
      <c r="P15" s="45">
        <f>MATCH(R$22,M$22:R$22,0)</f>
        <v>6</v>
      </c>
      <c r="Q15" s="17"/>
      <c r="R15" s="17"/>
      <c r="S15" s="18"/>
      <c r="V15" s="118"/>
      <c r="W15" s="119" t="s">
        <v>100</v>
      </c>
      <c r="X15" s="119" t="s">
        <v>114</v>
      </c>
      <c r="Y15" s="120" t="s">
        <v>115</v>
      </c>
    </row>
    <row r="16" spans="1:25">
      <c r="B16" s="16"/>
      <c r="C16" s="17"/>
      <c r="D16" s="17"/>
      <c r="E16" s="19"/>
      <c r="F16" s="17"/>
      <c r="G16" s="17"/>
      <c r="H16" s="17"/>
      <c r="I16" s="18"/>
      <c r="L16" s="16"/>
      <c r="M16" s="17"/>
      <c r="N16" s="17"/>
      <c r="O16" s="19"/>
      <c r="P16" s="17"/>
      <c r="Q16" s="17"/>
      <c r="R16" s="17"/>
      <c r="S16" s="18"/>
      <c r="V16" s="121" t="str">
        <f>"Check of contribution at age "&amp;K62</f>
        <v xml:space="preserve">Check of contribution at age </v>
      </c>
      <c r="W16" s="46">
        <f>F9*F10*((1+F11)^(C62-C23))</f>
        <v>7386.1855814410119</v>
      </c>
      <c r="X16" s="55" t="str">
        <f>IF(ROUND(W16-E62,8)=0,"ok","check")</f>
        <v>ok</v>
      </c>
      <c r="Y16" s="106" t="str">
        <f>IF(ROUND(O62-W16,8)=0,"ok","check")</f>
        <v>ok</v>
      </c>
    </row>
    <row r="17" spans="1:25" ht="45">
      <c r="A17" s="5"/>
      <c r="B17" s="22"/>
      <c r="C17" s="23"/>
      <c r="D17" s="24"/>
      <c r="E17" s="25" t="s">
        <v>36</v>
      </c>
      <c r="F17" s="26">
        <f>VLOOKUP(F8-1,C$23:H$62,F15)</f>
        <v>228505.9173251809</v>
      </c>
      <c r="G17" s="27"/>
      <c r="H17" s="27"/>
      <c r="I17" s="28"/>
      <c r="J17" s="5"/>
      <c r="K17" s="5"/>
      <c r="L17" s="22"/>
      <c r="M17" s="23"/>
      <c r="N17" s="24"/>
      <c r="O17" s="25" t="s">
        <v>36</v>
      </c>
      <c r="P17" s="26">
        <f>VLOOKUP(P8-1,M$23:R$62,P15)</f>
        <v>561252.54822029185</v>
      </c>
      <c r="Q17" s="27"/>
      <c r="R17" s="27"/>
      <c r="S17" s="28"/>
      <c r="T17" s="5"/>
      <c r="V17" s="121" t="s">
        <v>102</v>
      </c>
      <c r="W17" s="46"/>
      <c r="X17" s="55" t="str">
        <f>IF(COUNTIF(V24:V62,TRUE)&gt;0,"Check","ok")</f>
        <v>ok</v>
      </c>
      <c r="Y17" s="106" t="str">
        <f>IF(COUNTIF(X24:X62,TRUE)&gt;0,"Check","ok")</f>
        <v>ok</v>
      </c>
    </row>
    <row r="18" spans="1:25">
      <c r="A18" s="5"/>
      <c r="B18" s="22"/>
      <c r="C18" s="23"/>
      <c r="D18" s="22"/>
      <c r="E18" s="23"/>
      <c r="F18" s="28"/>
      <c r="G18" s="27"/>
      <c r="H18" s="27"/>
      <c r="I18" s="28"/>
      <c r="J18" s="5"/>
      <c r="K18" s="5"/>
      <c r="L18" s="22"/>
      <c r="M18" s="23"/>
      <c r="N18" s="22"/>
      <c r="O18" s="23"/>
      <c r="P18" s="28"/>
      <c r="Q18" s="27"/>
      <c r="R18" s="27"/>
      <c r="S18" s="28"/>
      <c r="T18" s="5"/>
      <c r="V18" s="121" t="s">
        <v>105</v>
      </c>
      <c r="W18" s="46"/>
      <c r="X18" s="55" t="str">
        <f>IF(COUNTIF(W24:W62,TRUE)&gt;0,"Check","ok")</f>
        <v>ok</v>
      </c>
      <c r="Y18" s="106" t="str">
        <f>IF(COUNTIF(X24:X62,TRUE)&gt;0,"Check","ok")</f>
        <v>ok</v>
      </c>
    </row>
    <row r="19" spans="1:25" ht="30">
      <c r="A19" s="5"/>
      <c r="B19" s="22"/>
      <c r="C19" s="23"/>
      <c r="D19" s="29"/>
      <c r="E19" s="30" t="s">
        <v>7</v>
      </c>
      <c r="F19" s="31">
        <f>F17*((1+F13)^-F14)</f>
        <v>85102.601308056372</v>
      </c>
      <c r="G19" s="136" t="s">
        <v>158</v>
      </c>
      <c r="H19" s="136"/>
      <c r="I19" s="28"/>
      <c r="J19" s="5"/>
      <c r="K19" s="5"/>
      <c r="L19" s="22"/>
      <c r="M19" s="23"/>
      <c r="N19" s="29"/>
      <c r="O19" s="30" t="s">
        <v>7</v>
      </c>
      <c r="P19" s="31">
        <f>P17*((1+P13)^-P14)</f>
        <v>209027.63658566613</v>
      </c>
      <c r="Q19" s="136" t="s">
        <v>159</v>
      </c>
      <c r="R19" s="136"/>
      <c r="S19" s="28"/>
      <c r="T19" s="5"/>
      <c r="V19" s="121" t="s">
        <v>112</v>
      </c>
      <c r="W19" s="46"/>
      <c r="X19" s="55" t="str">
        <f>IF(F17&lt;F19,"check","ok")</f>
        <v>ok</v>
      </c>
      <c r="Y19" s="106" t="str">
        <f>IF(P17&lt;P19,"check","ok")</f>
        <v>ok</v>
      </c>
    </row>
    <row r="20" spans="1:25">
      <c r="B20" s="16"/>
      <c r="C20" s="17"/>
      <c r="D20" s="17"/>
      <c r="E20" s="17"/>
      <c r="F20" s="17"/>
      <c r="G20" s="17"/>
      <c r="H20" s="17"/>
      <c r="I20" s="18"/>
      <c r="L20" s="16"/>
      <c r="M20" s="17"/>
      <c r="N20" s="17"/>
      <c r="O20" s="17"/>
      <c r="P20" s="17"/>
      <c r="Q20" s="17"/>
      <c r="R20" s="17"/>
      <c r="S20" s="18"/>
      <c r="V20" s="121"/>
      <c r="W20" s="46"/>
      <c r="X20" s="17"/>
      <c r="Y20" s="40"/>
    </row>
    <row r="21" spans="1:25">
      <c r="B21" s="16"/>
      <c r="C21" s="17"/>
      <c r="D21" s="17"/>
      <c r="E21" s="32"/>
      <c r="F21" s="17"/>
      <c r="G21" s="17"/>
      <c r="H21" s="17"/>
      <c r="I21" s="18"/>
      <c r="L21" s="16"/>
      <c r="M21" s="17"/>
      <c r="N21" s="17"/>
      <c r="O21" s="32"/>
      <c r="P21" s="17"/>
      <c r="Q21" s="17"/>
      <c r="R21" s="17"/>
      <c r="S21" s="18"/>
      <c r="V21" s="39"/>
      <c r="W21" s="17"/>
      <c r="X21" s="17"/>
      <c r="Y21" s="40"/>
    </row>
    <row r="22" spans="1:25" ht="45">
      <c r="A22" s="8"/>
      <c r="B22" s="33"/>
      <c r="C22" s="52" t="s">
        <v>4</v>
      </c>
      <c r="D22" s="52" t="s">
        <v>8</v>
      </c>
      <c r="E22" s="52" t="s">
        <v>9</v>
      </c>
      <c r="F22" s="52" t="s">
        <v>163</v>
      </c>
      <c r="G22" s="52" t="s">
        <v>164</v>
      </c>
      <c r="H22" s="52" t="s">
        <v>170</v>
      </c>
      <c r="I22" s="34"/>
      <c r="J22" s="8"/>
      <c r="K22" s="8"/>
      <c r="L22" s="33"/>
      <c r="M22" s="52" t="s">
        <v>4</v>
      </c>
      <c r="N22" s="52" t="s">
        <v>8</v>
      </c>
      <c r="O22" s="52" t="s">
        <v>9</v>
      </c>
      <c r="P22" s="52" t="s">
        <v>163</v>
      </c>
      <c r="Q22" s="52" t="s">
        <v>164</v>
      </c>
      <c r="R22" s="52" t="s">
        <v>170</v>
      </c>
      <c r="S22" s="34"/>
      <c r="T22" s="8"/>
      <c r="V22" s="121" t="s">
        <v>104</v>
      </c>
      <c r="W22" s="46" t="s">
        <v>103</v>
      </c>
      <c r="X22" s="46" t="s">
        <v>104</v>
      </c>
      <c r="Y22" s="122" t="s">
        <v>103</v>
      </c>
    </row>
    <row r="23" spans="1:25">
      <c r="B23" s="16"/>
      <c r="C23" s="53">
        <f>$F$6</f>
        <v>25</v>
      </c>
      <c r="D23" s="48">
        <f>F$10</f>
        <v>20000</v>
      </c>
      <c r="E23" s="50">
        <f>IF(C23&lt;F$7,0,D23*F$9)</f>
        <v>1600</v>
      </c>
      <c r="F23" s="50">
        <f>E23*((1+$F$12)^0.5)</f>
        <v>1619.8765385053268</v>
      </c>
      <c r="G23" s="48">
        <v>0</v>
      </c>
      <c r="H23" s="50">
        <f>F23+G23</f>
        <v>1619.8765385053268</v>
      </c>
      <c r="I23" s="18"/>
      <c r="L23" s="16"/>
      <c r="M23" s="53">
        <f>$F$6</f>
        <v>25</v>
      </c>
      <c r="N23" s="48">
        <f>P$10</f>
        <v>20000</v>
      </c>
      <c r="O23" s="50">
        <f>IF(M23&lt;P$7,0,N23*P$9)</f>
        <v>1600</v>
      </c>
      <c r="P23" s="50">
        <f>O23*((1+$P$12)^0.5)</f>
        <v>1655.052869246176</v>
      </c>
      <c r="Q23" s="48">
        <v>0</v>
      </c>
      <c r="R23" s="50">
        <f>P23+Q23</f>
        <v>1655.052869246176</v>
      </c>
      <c r="S23" s="18"/>
      <c r="V23" s="123"/>
      <c r="W23" s="55"/>
      <c r="X23" s="55"/>
      <c r="Y23" s="106"/>
    </row>
    <row r="24" spans="1:25">
      <c r="B24" s="16"/>
      <c r="C24" s="54">
        <f t="shared" ref="C24:C62" si="0">C23+1</f>
        <v>26</v>
      </c>
      <c r="D24" s="50">
        <f t="shared" ref="D24:D62" si="1">D23*(1+F$11)</f>
        <v>20800</v>
      </c>
      <c r="E24" s="50">
        <f t="shared" ref="E24:E62" si="2">IF(C24&lt;F$7,0,D24*F$9)</f>
        <v>1664</v>
      </c>
      <c r="F24" s="50">
        <f t="shared" ref="F24:F62" si="3">E24*((1+$F$12)^0.5)</f>
        <v>1684.6716000455399</v>
      </c>
      <c r="G24" s="50">
        <f>H23*(1+$F$12)</f>
        <v>1660.3734519679599</v>
      </c>
      <c r="H24" s="50">
        <f t="shared" ref="H24:H62" si="4">F24+G24</f>
        <v>3345.0450520135</v>
      </c>
      <c r="I24" s="18"/>
      <c r="L24" s="16"/>
      <c r="M24" s="54">
        <f t="shared" ref="M24:M62" si="5">M23+1</f>
        <v>26</v>
      </c>
      <c r="N24" s="50">
        <f t="shared" ref="N24:N62" si="6">N23*(1+P$11)</f>
        <v>20800</v>
      </c>
      <c r="O24" s="50">
        <f t="shared" ref="O24:O62" si="7">IF(M24&lt;P$7,0,N24*P$9)</f>
        <v>1664</v>
      </c>
      <c r="P24" s="50">
        <f t="shared" ref="P24:P62" si="8">O24*((1+$P$12)^0.5)</f>
        <v>1721.2549840160232</v>
      </c>
      <c r="Q24" s="50">
        <f>R23*(1+$P$12)</f>
        <v>1770.9065700934084</v>
      </c>
      <c r="R24" s="50">
        <f t="shared" ref="R24:R62" si="9">P24+Q24</f>
        <v>3492.1615541094316</v>
      </c>
      <c r="S24" s="18"/>
      <c r="V24" s="123" t="b">
        <f>D24&lt;D23</f>
        <v>0</v>
      </c>
      <c r="W24" s="55" t="b">
        <f>G24&lt;G23</f>
        <v>0</v>
      </c>
      <c r="X24" s="55" t="b">
        <f>N24&lt;N23</f>
        <v>0</v>
      </c>
      <c r="Y24" s="106" t="b">
        <f>Q24&lt;Q23</f>
        <v>0</v>
      </c>
    </row>
    <row r="25" spans="1:25">
      <c r="B25" s="16"/>
      <c r="C25" s="54">
        <f t="shared" si="0"/>
        <v>27</v>
      </c>
      <c r="D25" s="50">
        <f t="shared" si="1"/>
        <v>21632</v>
      </c>
      <c r="E25" s="50">
        <f t="shared" si="2"/>
        <v>1730.56</v>
      </c>
      <c r="F25" s="50">
        <f t="shared" si="3"/>
        <v>1752.0584640473614</v>
      </c>
      <c r="G25" s="50">
        <f t="shared" ref="G25:G62" si="10">H24*(1+$F$12)</f>
        <v>3428.6711783138371</v>
      </c>
      <c r="H25" s="50">
        <f t="shared" si="4"/>
        <v>5180.7296423611988</v>
      </c>
      <c r="I25" s="18"/>
      <c r="L25" s="16"/>
      <c r="M25" s="54">
        <f t="shared" si="5"/>
        <v>27</v>
      </c>
      <c r="N25" s="50">
        <f t="shared" si="6"/>
        <v>21632</v>
      </c>
      <c r="O25" s="50">
        <f t="shared" si="7"/>
        <v>1730.56</v>
      </c>
      <c r="P25" s="50">
        <f t="shared" si="8"/>
        <v>1790.1051833766639</v>
      </c>
      <c r="Q25" s="50">
        <f t="shared" ref="Q25:Q62" si="11">R24*(1+$P$12)</f>
        <v>3736.6128628970919</v>
      </c>
      <c r="R25" s="50">
        <f t="shared" si="9"/>
        <v>5526.718046273756</v>
      </c>
      <c r="S25" s="18"/>
      <c r="V25" s="123" t="b">
        <f t="shared" ref="V25:V62" si="12">D25&lt;D24</f>
        <v>0</v>
      </c>
      <c r="W25" s="55" t="b">
        <f t="shared" ref="W25:W62" si="13">G25&lt;G24</f>
        <v>0</v>
      </c>
      <c r="X25" s="55" t="b">
        <f t="shared" ref="X25:X62" si="14">N25&lt;N24</f>
        <v>0</v>
      </c>
      <c r="Y25" s="106" t="b">
        <f t="shared" ref="Y25:Y62" si="15">Q25&lt;Q24</f>
        <v>0</v>
      </c>
    </row>
    <row r="26" spans="1:25">
      <c r="B26" s="16"/>
      <c r="C26" s="54">
        <f t="shared" si="0"/>
        <v>28</v>
      </c>
      <c r="D26" s="50">
        <f t="shared" si="1"/>
        <v>22497.280000000002</v>
      </c>
      <c r="E26" s="50">
        <f t="shared" si="2"/>
        <v>1799.7824000000003</v>
      </c>
      <c r="F26" s="50">
        <f t="shared" si="3"/>
        <v>1822.1408026092561</v>
      </c>
      <c r="G26" s="50">
        <f t="shared" si="10"/>
        <v>5310.2478834202284</v>
      </c>
      <c r="H26" s="50">
        <f t="shared" si="4"/>
        <v>7132.3886860294842</v>
      </c>
      <c r="I26" s="18"/>
      <c r="L26" s="16"/>
      <c r="M26" s="54">
        <f t="shared" si="5"/>
        <v>28</v>
      </c>
      <c r="N26" s="50">
        <f t="shared" si="6"/>
        <v>22497.280000000002</v>
      </c>
      <c r="O26" s="50">
        <f t="shared" si="7"/>
        <v>1799.7824000000003</v>
      </c>
      <c r="P26" s="50">
        <f t="shared" si="8"/>
        <v>1861.709390711731</v>
      </c>
      <c r="Q26" s="50">
        <f t="shared" si="11"/>
        <v>5913.5883095129193</v>
      </c>
      <c r="R26" s="50">
        <f t="shared" si="9"/>
        <v>7775.2977002246498</v>
      </c>
      <c r="S26" s="18"/>
      <c r="V26" s="123" t="b">
        <f t="shared" si="12"/>
        <v>0</v>
      </c>
      <c r="W26" s="55" t="b">
        <f t="shared" si="13"/>
        <v>0</v>
      </c>
      <c r="X26" s="55" t="b">
        <f t="shared" si="14"/>
        <v>0</v>
      </c>
      <c r="Y26" s="106" t="b">
        <f t="shared" si="15"/>
        <v>0</v>
      </c>
    </row>
    <row r="27" spans="1:25">
      <c r="B27" s="16"/>
      <c r="C27" s="54">
        <f t="shared" si="0"/>
        <v>29</v>
      </c>
      <c r="D27" s="50">
        <f t="shared" si="1"/>
        <v>23397.171200000004</v>
      </c>
      <c r="E27" s="50">
        <f t="shared" si="2"/>
        <v>1871.7736960000004</v>
      </c>
      <c r="F27" s="50">
        <f t="shared" si="3"/>
        <v>1895.0264347136265</v>
      </c>
      <c r="G27" s="50">
        <f t="shared" si="10"/>
        <v>7310.6984031802203</v>
      </c>
      <c r="H27" s="50">
        <f t="shared" si="4"/>
        <v>9205.7248378938475</v>
      </c>
      <c r="I27" s="18"/>
      <c r="L27" s="16"/>
      <c r="M27" s="54">
        <f t="shared" si="5"/>
        <v>29</v>
      </c>
      <c r="N27" s="50">
        <f t="shared" si="6"/>
        <v>23397.171200000004</v>
      </c>
      <c r="O27" s="50">
        <f t="shared" si="7"/>
        <v>1871.7736960000004</v>
      </c>
      <c r="P27" s="50">
        <f t="shared" si="8"/>
        <v>1936.1777663402004</v>
      </c>
      <c r="Q27" s="50">
        <f t="shared" si="11"/>
        <v>8319.5685392403757</v>
      </c>
      <c r="R27" s="50">
        <f t="shared" si="9"/>
        <v>10255.746305580577</v>
      </c>
      <c r="S27" s="18"/>
      <c r="V27" s="123" t="b">
        <f t="shared" si="12"/>
        <v>0</v>
      </c>
      <c r="W27" s="55" t="b">
        <f t="shared" si="13"/>
        <v>0</v>
      </c>
      <c r="X27" s="55" t="b">
        <f t="shared" si="14"/>
        <v>0</v>
      </c>
      <c r="Y27" s="106" t="b">
        <f t="shared" si="15"/>
        <v>0</v>
      </c>
    </row>
    <row r="28" spans="1:25">
      <c r="B28" s="16"/>
      <c r="C28" s="54">
        <f t="shared" si="0"/>
        <v>30</v>
      </c>
      <c r="D28" s="50">
        <f t="shared" si="1"/>
        <v>24333.058048000006</v>
      </c>
      <c r="E28" s="50">
        <f t="shared" si="2"/>
        <v>1946.6446438400005</v>
      </c>
      <c r="F28" s="50">
        <f t="shared" si="3"/>
        <v>1970.8274921021716</v>
      </c>
      <c r="G28" s="50">
        <f t="shared" si="10"/>
        <v>9435.8679588411924</v>
      </c>
      <c r="H28" s="50">
        <f t="shared" si="4"/>
        <v>11406.695450943364</v>
      </c>
      <c r="I28" s="18"/>
      <c r="L28" s="16"/>
      <c r="M28" s="54">
        <f t="shared" si="5"/>
        <v>30</v>
      </c>
      <c r="N28" s="50">
        <f t="shared" si="6"/>
        <v>24333.058048000006</v>
      </c>
      <c r="O28" s="50">
        <f t="shared" si="7"/>
        <v>1946.6446438400005</v>
      </c>
      <c r="P28" s="50">
        <f t="shared" si="8"/>
        <v>2013.6248769938084</v>
      </c>
      <c r="Q28" s="50">
        <f t="shared" si="11"/>
        <v>10973.648546971217</v>
      </c>
      <c r="R28" s="50">
        <f t="shared" si="9"/>
        <v>12987.273423965025</v>
      </c>
      <c r="S28" s="18"/>
      <c r="V28" s="123" t="b">
        <f t="shared" si="12"/>
        <v>0</v>
      </c>
      <c r="W28" s="55" t="b">
        <f t="shared" si="13"/>
        <v>0</v>
      </c>
      <c r="X28" s="55" t="b">
        <f t="shared" si="14"/>
        <v>0</v>
      </c>
      <c r="Y28" s="106" t="b">
        <f t="shared" si="15"/>
        <v>0</v>
      </c>
    </row>
    <row r="29" spans="1:25">
      <c r="B29" s="16"/>
      <c r="C29" s="54">
        <f t="shared" si="0"/>
        <v>31</v>
      </c>
      <c r="D29" s="50">
        <f t="shared" si="1"/>
        <v>25306.380369920007</v>
      </c>
      <c r="E29" s="50">
        <f t="shared" si="2"/>
        <v>2024.5104295936005</v>
      </c>
      <c r="F29" s="50">
        <f t="shared" si="3"/>
        <v>2049.6605917862585</v>
      </c>
      <c r="G29" s="50">
        <f t="shared" si="10"/>
        <v>11691.862837216946</v>
      </c>
      <c r="H29" s="50">
        <f t="shared" si="4"/>
        <v>13741.523429003204</v>
      </c>
      <c r="I29" s="18"/>
      <c r="L29" s="16"/>
      <c r="M29" s="54">
        <f t="shared" si="5"/>
        <v>31</v>
      </c>
      <c r="N29" s="50">
        <f t="shared" si="6"/>
        <v>25306.380369920007</v>
      </c>
      <c r="O29" s="50">
        <f t="shared" si="7"/>
        <v>2024.5104295936005</v>
      </c>
      <c r="P29" s="50">
        <f t="shared" si="8"/>
        <v>2094.1698720735608</v>
      </c>
      <c r="Q29" s="50">
        <f t="shared" si="11"/>
        <v>13896.382563642577</v>
      </c>
      <c r="R29" s="50">
        <f t="shared" si="9"/>
        <v>15990.552435716138</v>
      </c>
      <c r="S29" s="18"/>
      <c r="V29" s="123" t="b">
        <f t="shared" si="12"/>
        <v>0</v>
      </c>
      <c r="W29" s="55" t="b">
        <f t="shared" si="13"/>
        <v>0</v>
      </c>
      <c r="X29" s="55" t="b">
        <f t="shared" si="14"/>
        <v>0</v>
      </c>
      <c r="Y29" s="106" t="b">
        <f t="shared" si="15"/>
        <v>0</v>
      </c>
    </row>
    <row r="30" spans="1:25">
      <c r="B30" s="16"/>
      <c r="C30" s="54">
        <f t="shared" si="0"/>
        <v>32</v>
      </c>
      <c r="D30" s="50">
        <f t="shared" si="1"/>
        <v>26318.635584716809</v>
      </c>
      <c r="E30" s="50">
        <f t="shared" si="2"/>
        <v>2105.4908467773448</v>
      </c>
      <c r="F30" s="50">
        <f t="shared" si="3"/>
        <v>2131.6470154577091</v>
      </c>
      <c r="G30" s="50">
        <f t="shared" si="10"/>
        <v>14085.061514728282</v>
      </c>
      <c r="H30" s="50">
        <f t="shared" si="4"/>
        <v>16216.708530185992</v>
      </c>
      <c r="I30" s="18"/>
      <c r="L30" s="16"/>
      <c r="M30" s="54">
        <f t="shared" si="5"/>
        <v>32</v>
      </c>
      <c r="N30" s="50">
        <f t="shared" si="6"/>
        <v>26318.635584716809</v>
      </c>
      <c r="O30" s="50">
        <f t="shared" si="7"/>
        <v>2105.4908467773448</v>
      </c>
      <c r="P30" s="50">
        <f t="shared" si="8"/>
        <v>2177.9366669565034</v>
      </c>
      <c r="Q30" s="50">
        <f t="shared" si="11"/>
        <v>17109.89110621627</v>
      </c>
      <c r="R30" s="50">
        <f t="shared" si="9"/>
        <v>19287.827773172772</v>
      </c>
      <c r="S30" s="18"/>
      <c r="V30" s="123" t="b">
        <f t="shared" si="12"/>
        <v>0</v>
      </c>
      <c r="W30" s="55" t="b">
        <f t="shared" si="13"/>
        <v>0</v>
      </c>
      <c r="X30" s="55" t="b">
        <f t="shared" si="14"/>
        <v>0</v>
      </c>
      <c r="Y30" s="106" t="b">
        <f t="shared" si="15"/>
        <v>0</v>
      </c>
    </row>
    <row r="31" spans="1:25">
      <c r="B31" s="16"/>
      <c r="C31" s="54">
        <f t="shared" si="0"/>
        <v>33</v>
      </c>
      <c r="D31" s="50">
        <f t="shared" si="1"/>
        <v>27371.381008105483</v>
      </c>
      <c r="E31" s="50">
        <f t="shared" si="2"/>
        <v>2189.7104806484385</v>
      </c>
      <c r="F31" s="50">
        <f t="shared" si="3"/>
        <v>2216.9128960760172</v>
      </c>
      <c r="G31" s="50">
        <f t="shared" si="10"/>
        <v>16622.126243440642</v>
      </c>
      <c r="H31" s="50">
        <f t="shared" si="4"/>
        <v>18839.039139516659</v>
      </c>
      <c r="I31" s="18"/>
      <c r="L31" s="16"/>
      <c r="M31" s="54">
        <f t="shared" si="5"/>
        <v>33</v>
      </c>
      <c r="N31" s="50">
        <f t="shared" si="6"/>
        <v>27371.381008105483</v>
      </c>
      <c r="O31" s="50">
        <f t="shared" si="7"/>
        <v>2189.7104806484385</v>
      </c>
      <c r="P31" s="50">
        <f t="shared" si="8"/>
        <v>2265.0541336347633</v>
      </c>
      <c r="Q31" s="50">
        <f t="shared" si="11"/>
        <v>20637.975717294867</v>
      </c>
      <c r="R31" s="50">
        <f t="shared" si="9"/>
        <v>22903.02985092963</v>
      </c>
      <c r="S31" s="18"/>
      <c r="V31" s="123" t="b">
        <f t="shared" si="12"/>
        <v>0</v>
      </c>
      <c r="W31" s="55" t="b">
        <f t="shared" si="13"/>
        <v>0</v>
      </c>
      <c r="X31" s="55" t="b">
        <f t="shared" si="14"/>
        <v>0</v>
      </c>
      <c r="Y31" s="106" t="b">
        <f t="shared" si="15"/>
        <v>0</v>
      </c>
    </row>
    <row r="32" spans="1:25">
      <c r="B32" s="16"/>
      <c r="C32" s="54">
        <f t="shared" si="0"/>
        <v>34</v>
      </c>
      <c r="D32" s="50">
        <f t="shared" si="1"/>
        <v>28466.236248429705</v>
      </c>
      <c r="E32" s="50">
        <f t="shared" si="2"/>
        <v>2277.2988998743763</v>
      </c>
      <c r="F32" s="50">
        <f t="shared" si="3"/>
        <v>2305.5894119190584</v>
      </c>
      <c r="G32" s="50">
        <f t="shared" si="10"/>
        <v>19310.015118004572</v>
      </c>
      <c r="H32" s="50">
        <f t="shared" si="4"/>
        <v>21615.604529923632</v>
      </c>
      <c r="I32" s="18"/>
      <c r="L32" s="16"/>
      <c r="M32" s="54">
        <f t="shared" si="5"/>
        <v>34</v>
      </c>
      <c r="N32" s="50">
        <f t="shared" si="6"/>
        <v>28466.236248429705</v>
      </c>
      <c r="O32" s="50">
        <f t="shared" si="7"/>
        <v>2277.2988998743763</v>
      </c>
      <c r="P32" s="50">
        <f t="shared" si="8"/>
        <v>2355.6562989801541</v>
      </c>
      <c r="Q32" s="50">
        <f t="shared" si="11"/>
        <v>24506.241940494707</v>
      </c>
      <c r="R32" s="50">
        <f t="shared" si="9"/>
        <v>26861.89823947486</v>
      </c>
      <c r="S32" s="18"/>
      <c r="V32" s="123" t="b">
        <f t="shared" si="12"/>
        <v>0</v>
      </c>
      <c r="W32" s="55" t="b">
        <f t="shared" si="13"/>
        <v>0</v>
      </c>
      <c r="X32" s="55" t="b">
        <f t="shared" si="14"/>
        <v>0</v>
      </c>
      <c r="Y32" s="106" t="b">
        <f t="shared" si="15"/>
        <v>0</v>
      </c>
    </row>
    <row r="33" spans="2:25">
      <c r="B33" s="16"/>
      <c r="C33" s="54">
        <f t="shared" si="0"/>
        <v>35</v>
      </c>
      <c r="D33" s="50">
        <f t="shared" si="1"/>
        <v>29604.885698366892</v>
      </c>
      <c r="E33" s="50">
        <f t="shared" si="2"/>
        <v>2368.3908558693515</v>
      </c>
      <c r="F33" s="50">
        <f t="shared" si="3"/>
        <v>2397.8129883958209</v>
      </c>
      <c r="G33" s="50">
        <f t="shared" si="10"/>
        <v>22155.994643171722</v>
      </c>
      <c r="H33" s="50">
        <f t="shared" si="4"/>
        <v>24553.807631567543</v>
      </c>
      <c r="I33" s="18"/>
      <c r="L33" s="16"/>
      <c r="M33" s="54">
        <f t="shared" si="5"/>
        <v>35</v>
      </c>
      <c r="N33" s="50">
        <f t="shared" si="6"/>
        <v>29604.885698366892</v>
      </c>
      <c r="O33" s="50">
        <f t="shared" si="7"/>
        <v>2368.3908558693515</v>
      </c>
      <c r="P33" s="50">
        <f t="shared" si="8"/>
        <v>2449.8825509393605</v>
      </c>
      <c r="Q33" s="50">
        <f t="shared" si="11"/>
        <v>28742.231116238101</v>
      </c>
      <c r="R33" s="50">
        <f t="shared" si="9"/>
        <v>31192.113667177462</v>
      </c>
      <c r="S33" s="18"/>
      <c r="V33" s="123" t="b">
        <f t="shared" si="12"/>
        <v>0</v>
      </c>
      <c r="W33" s="55" t="b">
        <f t="shared" si="13"/>
        <v>0</v>
      </c>
      <c r="X33" s="55" t="b">
        <f t="shared" si="14"/>
        <v>0</v>
      </c>
      <c r="Y33" s="106" t="b">
        <f t="shared" si="15"/>
        <v>0</v>
      </c>
    </row>
    <row r="34" spans="2:25">
      <c r="B34" s="16"/>
      <c r="C34" s="54">
        <f t="shared" si="0"/>
        <v>36</v>
      </c>
      <c r="D34" s="50">
        <f t="shared" si="1"/>
        <v>30789.081126301568</v>
      </c>
      <c r="E34" s="50">
        <f t="shared" si="2"/>
        <v>2463.1264901041254</v>
      </c>
      <c r="F34" s="50">
        <f t="shared" si="3"/>
        <v>2493.7255079316537</v>
      </c>
      <c r="G34" s="50">
        <f t="shared" si="10"/>
        <v>25167.652822356729</v>
      </c>
      <c r="H34" s="50">
        <f t="shared" si="4"/>
        <v>27661.378330288382</v>
      </c>
      <c r="I34" s="18"/>
      <c r="L34" s="16"/>
      <c r="M34" s="54">
        <f t="shared" si="5"/>
        <v>36</v>
      </c>
      <c r="N34" s="50">
        <f t="shared" si="6"/>
        <v>30789.081126301568</v>
      </c>
      <c r="O34" s="50">
        <f t="shared" si="7"/>
        <v>2463.1264901041254</v>
      </c>
      <c r="P34" s="50">
        <f t="shared" si="8"/>
        <v>2547.8778529769347</v>
      </c>
      <c r="Q34" s="50">
        <f t="shared" si="11"/>
        <v>33375.561623879883</v>
      </c>
      <c r="R34" s="50">
        <f t="shared" si="9"/>
        <v>35923.439476856816</v>
      </c>
      <c r="S34" s="18"/>
      <c r="V34" s="123" t="b">
        <f t="shared" si="12"/>
        <v>0</v>
      </c>
      <c r="W34" s="55" t="b">
        <f t="shared" si="13"/>
        <v>0</v>
      </c>
      <c r="X34" s="55" t="b">
        <f t="shared" si="14"/>
        <v>0</v>
      </c>
      <c r="Y34" s="106" t="b">
        <f t="shared" si="15"/>
        <v>0</v>
      </c>
    </row>
    <row r="35" spans="2:25">
      <c r="B35" s="16"/>
      <c r="C35" s="54">
        <f t="shared" si="0"/>
        <v>37</v>
      </c>
      <c r="D35" s="50">
        <f t="shared" si="1"/>
        <v>32020.644371353632</v>
      </c>
      <c r="E35" s="50">
        <f t="shared" si="2"/>
        <v>2561.6515497082905</v>
      </c>
      <c r="F35" s="50">
        <f t="shared" si="3"/>
        <v>2593.4745282489198</v>
      </c>
      <c r="G35" s="50">
        <f t="shared" si="10"/>
        <v>28352.912788545589</v>
      </c>
      <c r="H35" s="50">
        <f t="shared" si="4"/>
        <v>30946.387316794509</v>
      </c>
      <c r="I35" s="18"/>
      <c r="L35" s="16"/>
      <c r="M35" s="54">
        <f t="shared" si="5"/>
        <v>37</v>
      </c>
      <c r="N35" s="50">
        <f t="shared" si="6"/>
        <v>32020.644371353632</v>
      </c>
      <c r="O35" s="50">
        <f t="shared" si="7"/>
        <v>2561.6515497082905</v>
      </c>
      <c r="P35" s="50">
        <f t="shared" si="8"/>
        <v>2649.7929670960125</v>
      </c>
      <c r="Q35" s="50">
        <f t="shared" si="11"/>
        <v>38438.080240236799</v>
      </c>
      <c r="R35" s="50">
        <f t="shared" si="9"/>
        <v>41087.873207332814</v>
      </c>
      <c r="S35" s="18"/>
      <c r="V35" s="123" t="b">
        <f t="shared" si="12"/>
        <v>0</v>
      </c>
      <c r="W35" s="55" t="b">
        <f t="shared" si="13"/>
        <v>0</v>
      </c>
      <c r="X35" s="55" t="b">
        <f t="shared" si="14"/>
        <v>0</v>
      </c>
      <c r="Y35" s="106" t="b">
        <f t="shared" si="15"/>
        <v>0</v>
      </c>
    </row>
    <row r="36" spans="2:25">
      <c r="B36" s="16"/>
      <c r="C36" s="54">
        <f t="shared" si="0"/>
        <v>38</v>
      </c>
      <c r="D36" s="50">
        <f t="shared" si="1"/>
        <v>33301.470146207779</v>
      </c>
      <c r="E36" s="50">
        <f t="shared" si="2"/>
        <v>2664.1176116966226</v>
      </c>
      <c r="F36" s="50">
        <f t="shared" si="3"/>
        <v>2697.213509378877</v>
      </c>
      <c r="G36" s="50">
        <f t="shared" si="10"/>
        <v>31720.04699971437</v>
      </c>
      <c r="H36" s="50">
        <f t="shared" si="4"/>
        <v>34417.260509093248</v>
      </c>
      <c r="I36" s="18"/>
      <c r="L36" s="16"/>
      <c r="M36" s="54">
        <f t="shared" si="5"/>
        <v>38</v>
      </c>
      <c r="N36" s="50">
        <f t="shared" si="6"/>
        <v>33301.470146207779</v>
      </c>
      <c r="O36" s="50">
        <f t="shared" si="7"/>
        <v>2664.1176116966226</v>
      </c>
      <c r="P36" s="50">
        <f t="shared" si="8"/>
        <v>2755.7846857798531</v>
      </c>
      <c r="Q36" s="50">
        <f t="shared" si="11"/>
        <v>43964.024331846114</v>
      </c>
      <c r="R36" s="50">
        <f t="shared" si="9"/>
        <v>46719.809017625965</v>
      </c>
      <c r="S36" s="18"/>
      <c r="V36" s="123" t="b">
        <f t="shared" si="12"/>
        <v>0</v>
      </c>
      <c r="W36" s="55" t="b">
        <f t="shared" si="13"/>
        <v>0</v>
      </c>
      <c r="X36" s="55" t="b">
        <f t="shared" si="14"/>
        <v>0</v>
      </c>
      <c r="Y36" s="106" t="b">
        <f t="shared" si="15"/>
        <v>0</v>
      </c>
    </row>
    <row r="37" spans="2:25">
      <c r="B37" s="16"/>
      <c r="C37" s="54">
        <f t="shared" si="0"/>
        <v>39</v>
      </c>
      <c r="D37" s="50">
        <f t="shared" si="1"/>
        <v>34633.528952056091</v>
      </c>
      <c r="E37" s="50">
        <f t="shared" si="2"/>
        <v>2770.6823161644875</v>
      </c>
      <c r="F37" s="50">
        <f t="shared" si="3"/>
        <v>2805.1020497540321</v>
      </c>
      <c r="G37" s="50">
        <f t="shared" si="10"/>
        <v>35277.692021820578</v>
      </c>
      <c r="H37" s="50">
        <f t="shared" si="4"/>
        <v>38082.794071574608</v>
      </c>
      <c r="I37" s="18"/>
      <c r="L37" s="16"/>
      <c r="M37" s="54">
        <f t="shared" si="5"/>
        <v>39</v>
      </c>
      <c r="N37" s="50">
        <f t="shared" si="6"/>
        <v>34633.528952056091</v>
      </c>
      <c r="O37" s="50">
        <f t="shared" si="7"/>
        <v>2770.6823161644875</v>
      </c>
      <c r="P37" s="50">
        <f t="shared" si="8"/>
        <v>2866.0160732110476</v>
      </c>
      <c r="Q37" s="50">
        <f t="shared" si="11"/>
        <v>49990.195648859786</v>
      </c>
      <c r="R37" s="50">
        <f t="shared" si="9"/>
        <v>52856.211722070831</v>
      </c>
      <c r="S37" s="18"/>
      <c r="V37" s="123" t="b">
        <f t="shared" si="12"/>
        <v>0</v>
      </c>
      <c r="W37" s="55" t="b">
        <f t="shared" si="13"/>
        <v>0</v>
      </c>
      <c r="X37" s="55" t="b">
        <f t="shared" si="14"/>
        <v>0</v>
      </c>
      <c r="Y37" s="106" t="b">
        <f t="shared" si="15"/>
        <v>0</v>
      </c>
    </row>
    <row r="38" spans="2:25">
      <c r="B38" s="16"/>
      <c r="C38" s="54">
        <f t="shared" si="0"/>
        <v>40</v>
      </c>
      <c r="D38" s="50">
        <f t="shared" si="1"/>
        <v>36018.870110138334</v>
      </c>
      <c r="E38" s="50">
        <f t="shared" si="2"/>
        <v>2881.5096088110668</v>
      </c>
      <c r="F38" s="50">
        <f t="shared" si="3"/>
        <v>2917.306131744193</v>
      </c>
      <c r="G38" s="50">
        <f t="shared" si="10"/>
        <v>39034.86392336397</v>
      </c>
      <c r="H38" s="50">
        <f t="shared" si="4"/>
        <v>41952.170055108159</v>
      </c>
      <c r="I38" s="18"/>
      <c r="L38" s="16"/>
      <c r="M38" s="54">
        <f t="shared" si="5"/>
        <v>40</v>
      </c>
      <c r="N38" s="50">
        <f t="shared" si="6"/>
        <v>36018.870110138334</v>
      </c>
      <c r="O38" s="50">
        <f t="shared" si="7"/>
        <v>2881.5096088110668</v>
      </c>
      <c r="P38" s="50">
        <f t="shared" si="8"/>
        <v>2980.6567161394892</v>
      </c>
      <c r="Q38" s="50">
        <f t="shared" si="11"/>
        <v>56556.146542615796</v>
      </c>
      <c r="R38" s="50">
        <f t="shared" si="9"/>
        <v>59536.803258755288</v>
      </c>
      <c r="S38" s="18"/>
      <c r="V38" s="123" t="b">
        <f t="shared" si="12"/>
        <v>0</v>
      </c>
      <c r="W38" s="55" t="b">
        <f t="shared" si="13"/>
        <v>0</v>
      </c>
      <c r="X38" s="55" t="b">
        <f t="shared" si="14"/>
        <v>0</v>
      </c>
      <c r="Y38" s="106" t="b">
        <f t="shared" si="15"/>
        <v>0</v>
      </c>
    </row>
    <row r="39" spans="2:25">
      <c r="B39" s="16"/>
      <c r="C39" s="54">
        <f t="shared" si="0"/>
        <v>41</v>
      </c>
      <c r="D39" s="50">
        <f t="shared" si="1"/>
        <v>37459.624914543871</v>
      </c>
      <c r="E39" s="50">
        <f t="shared" si="2"/>
        <v>2996.7699931635098</v>
      </c>
      <c r="F39" s="50">
        <f t="shared" si="3"/>
        <v>3033.9983770139611</v>
      </c>
      <c r="G39" s="50">
        <f t="shared" si="10"/>
        <v>43000.974306485863</v>
      </c>
      <c r="H39" s="50">
        <f t="shared" si="4"/>
        <v>46034.972683499822</v>
      </c>
      <c r="I39" s="18"/>
      <c r="L39" s="16"/>
      <c r="M39" s="54">
        <f t="shared" si="5"/>
        <v>41</v>
      </c>
      <c r="N39" s="50">
        <f t="shared" si="6"/>
        <v>37459.624914543871</v>
      </c>
      <c r="O39" s="50">
        <f t="shared" si="7"/>
        <v>2996.7699931635098</v>
      </c>
      <c r="P39" s="50">
        <f t="shared" si="8"/>
        <v>3099.8829847850689</v>
      </c>
      <c r="Q39" s="50">
        <f t="shared" si="11"/>
        <v>63704.379486868165</v>
      </c>
      <c r="R39" s="50">
        <f t="shared" si="9"/>
        <v>66804.26247165323</v>
      </c>
      <c r="S39" s="18"/>
      <c r="V39" s="123" t="b">
        <f t="shared" si="12"/>
        <v>0</v>
      </c>
      <c r="W39" s="55" t="b">
        <f t="shared" si="13"/>
        <v>0</v>
      </c>
      <c r="X39" s="55" t="b">
        <f t="shared" si="14"/>
        <v>0</v>
      </c>
      <c r="Y39" s="106" t="b">
        <f t="shared" si="15"/>
        <v>0</v>
      </c>
    </row>
    <row r="40" spans="2:25">
      <c r="B40" s="16"/>
      <c r="C40" s="54">
        <f t="shared" si="0"/>
        <v>42</v>
      </c>
      <c r="D40" s="50">
        <f t="shared" si="1"/>
        <v>38958.009911125628</v>
      </c>
      <c r="E40" s="50">
        <f t="shared" si="2"/>
        <v>3116.6407928900503</v>
      </c>
      <c r="F40" s="50">
        <f t="shared" si="3"/>
        <v>3155.35831209452</v>
      </c>
      <c r="G40" s="50">
        <f t="shared" si="10"/>
        <v>47185.847000587317</v>
      </c>
      <c r="H40" s="50">
        <f t="shared" si="4"/>
        <v>50341.205312681835</v>
      </c>
      <c r="I40" s="18"/>
      <c r="L40" s="16"/>
      <c r="M40" s="54">
        <f t="shared" si="5"/>
        <v>42</v>
      </c>
      <c r="N40" s="50">
        <f t="shared" si="6"/>
        <v>38958.009911125628</v>
      </c>
      <c r="O40" s="50">
        <f t="shared" si="7"/>
        <v>3116.6407928900503</v>
      </c>
      <c r="P40" s="50">
        <f t="shared" si="8"/>
        <v>3223.8783041764718</v>
      </c>
      <c r="Q40" s="50">
        <f t="shared" si="11"/>
        <v>71480.560844668958</v>
      </c>
      <c r="R40" s="50">
        <f t="shared" si="9"/>
        <v>74704.439148845428</v>
      </c>
      <c r="S40" s="18"/>
      <c r="V40" s="123" t="b">
        <f t="shared" si="12"/>
        <v>0</v>
      </c>
      <c r="W40" s="55" t="b">
        <f t="shared" si="13"/>
        <v>0</v>
      </c>
      <c r="X40" s="55" t="b">
        <f t="shared" si="14"/>
        <v>0</v>
      </c>
      <c r="Y40" s="106" t="b">
        <f t="shared" si="15"/>
        <v>0</v>
      </c>
    </row>
    <row r="41" spans="2:25">
      <c r="B41" s="16"/>
      <c r="C41" s="54">
        <f t="shared" si="0"/>
        <v>43</v>
      </c>
      <c r="D41" s="50">
        <f t="shared" si="1"/>
        <v>40516.330307570657</v>
      </c>
      <c r="E41" s="50">
        <f t="shared" si="2"/>
        <v>3241.3064246056529</v>
      </c>
      <c r="F41" s="50">
        <f t="shared" si="3"/>
        <v>3281.5726445783012</v>
      </c>
      <c r="G41" s="50">
        <f t="shared" si="10"/>
        <v>51599.735445498874</v>
      </c>
      <c r="H41" s="50">
        <f t="shared" si="4"/>
        <v>54881.308090077175</v>
      </c>
      <c r="I41" s="18"/>
      <c r="L41" s="16"/>
      <c r="M41" s="54">
        <f t="shared" si="5"/>
        <v>43</v>
      </c>
      <c r="N41" s="50">
        <f t="shared" si="6"/>
        <v>40516.330307570657</v>
      </c>
      <c r="O41" s="50">
        <f t="shared" si="7"/>
        <v>3241.3064246056529</v>
      </c>
      <c r="P41" s="50">
        <f t="shared" si="8"/>
        <v>3352.8334363435315</v>
      </c>
      <c r="Q41" s="50">
        <f t="shared" si="11"/>
        <v>79933.749889264611</v>
      </c>
      <c r="R41" s="50">
        <f t="shared" si="9"/>
        <v>83286.583325608139</v>
      </c>
      <c r="S41" s="18"/>
      <c r="V41" s="123" t="b">
        <f t="shared" si="12"/>
        <v>0</v>
      </c>
      <c r="W41" s="55" t="b">
        <f t="shared" si="13"/>
        <v>0</v>
      </c>
      <c r="X41" s="55" t="b">
        <f t="shared" si="14"/>
        <v>0</v>
      </c>
      <c r="Y41" s="106" t="b">
        <f t="shared" si="15"/>
        <v>0</v>
      </c>
    </row>
    <row r="42" spans="2:25">
      <c r="B42" s="16"/>
      <c r="C42" s="54">
        <f t="shared" si="0"/>
        <v>44</v>
      </c>
      <c r="D42" s="50">
        <f t="shared" si="1"/>
        <v>42136.983519873487</v>
      </c>
      <c r="E42" s="50">
        <f t="shared" si="2"/>
        <v>3370.9586815898792</v>
      </c>
      <c r="F42" s="50">
        <f t="shared" si="3"/>
        <v>3412.8355503614334</v>
      </c>
      <c r="G42" s="50">
        <f t="shared" si="10"/>
        <v>56253.340792329102</v>
      </c>
      <c r="H42" s="50">
        <f t="shared" si="4"/>
        <v>59666.176342690538</v>
      </c>
      <c r="I42" s="18"/>
      <c r="L42" s="16"/>
      <c r="M42" s="54">
        <f t="shared" si="5"/>
        <v>44</v>
      </c>
      <c r="N42" s="50">
        <f t="shared" si="6"/>
        <v>42136.983519873487</v>
      </c>
      <c r="O42" s="50">
        <f t="shared" si="7"/>
        <v>3370.9586815898792</v>
      </c>
      <c r="P42" s="50">
        <f t="shared" si="8"/>
        <v>3486.9467737972727</v>
      </c>
      <c r="Q42" s="50">
        <f t="shared" si="11"/>
        <v>89116.644158400712</v>
      </c>
      <c r="R42" s="50">
        <f t="shared" si="9"/>
        <v>92603.590932197985</v>
      </c>
      <c r="S42" s="18"/>
      <c r="V42" s="123" t="b">
        <f t="shared" si="12"/>
        <v>0</v>
      </c>
      <c r="W42" s="55" t="b">
        <f t="shared" si="13"/>
        <v>0</v>
      </c>
      <c r="X42" s="55" t="b">
        <f t="shared" si="14"/>
        <v>0</v>
      </c>
      <c r="Y42" s="106" t="b">
        <f t="shared" si="15"/>
        <v>0</v>
      </c>
    </row>
    <row r="43" spans="2:25">
      <c r="B43" s="16"/>
      <c r="C43" s="54">
        <f t="shared" si="0"/>
        <v>45</v>
      </c>
      <c r="D43" s="50">
        <f t="shared" si="1"/>
        <v>43822.462860668427</v>
      </c>
      <c r="E43" s="50">
        <f t="shared" si="2"/>
        <v>3505.7970288534743</v>
      </c>
      <c r="F43" s="50">
        <f t="shared" si="3"/>
        <v>3549.3489723758908</v>
      </c>
      <c r="G43" s="50">
        <f t="shared" si="10"/>
        <v>61157.830751257796</v>
      </c>
      <c r="H43" s="50">
        <f t="shared" si="4"/>
        <v>64707.179723633686</v>
      </c>
      <c r="I43" s="18"/>
      <c r="L43" s="16"/>
      <c r="M43" s="54">
        <f t="shared" si="5"/>
        <v>45</v>
      </c>
      <c r="N43" s="50">
        <f t="shared" si="6"/>
        <v>43822.462860668427</v>
      </c>
      <c r="O43" s="50">
        <f t="shared" si="7"/>
        <v>3505.7970288534743</v>
      </c>
      <c r="P43" s="50">
        <f t="shared" si="8"/>
        <v>3626.4246447491637</v>
      </c>
      <c r="Q43" s="50">
        <f t="shared" si="11"/>
        <v>99085.842297451847</v>
      </c>
      <c r="R43" s="50">
        <f t="shared" si="9"/>
        <v>102712.26694220101</v>
      </c>
      <c r="S43" s="18"/>
      <c r="V43" s="123" t="b">
        <f t="shared" si="12"/>
        <v>0</v>
      </c>
      <c r="W43" s="55" t="b">
        <f t="shared" si="13"/>
        <v>0</v>
      </c>
      <c r="X43" s="55" t="b">
        <f t="shared" si="14"/>
        <v>0</v>
      </c>
      <c r="Y43" s="106" t="b">
        <f t="shared" si="15"/>
        <v>0</v>
      </c>
    </row>
    <row r="44" spans="2:25">
      <c r="B44" s="16"/>
      <c r="C44" s="54">
        <f t="shared" si="0"/>
        <v>46</v>
      </c>
      <c r="D44" s="50">
        <f t="shared" si="1"/>
        <v>45575.361375095163</v>
      </c>
      <c r="E44" s="50">
        <f t="shared" si="2"/>
        <v>3646.0289100076129</v>
      </c>
      <c r="F44" s="50">
        <f t="shared" si="3"/>
        <v>3691.3229312709259</v>
      </c>
      <c r="G44" s="50">
        <f t="shared" si="10"/>
        <v>66324.859216724522</v>
      </c>
      <c r="H44" s="50">
        <f t="shared" si="4"/>
        <v>70016.182147995452</v>
      </c>
      <c r="I44" s="18"/>
      <c r="L44" s="16"/>
      <c r="M44" s="54">
        <f t="shared" si="5"/>
        <v>46</v>
      </c>
      <c r="N44" s="50">
        <f t="shared" si="6"/>
        <v>45575.361375095163</v>
      </c>
      <c r="O44" s="50">
        <f t="shared" si="7"/>
        <v>3646.0289100076129</v>
      </c>
      <c r="P44" s="50">
        <f t="shared" si="8"/>
        <v>3771.4816305391296</v>
      </c>
      <c r="Q44" s="50">
        <f t="shared" si="11"/>
        <v>109902.12562815509</v>
      </c>
      <c r="R44" s="50">
        <f t="shared" si="9"/>
        <v>113673.60725869422</v>
      </c>
      <c r="S44" s="18"/>
      <c r="V44" s="123" t="b">
        <f t="shared" si="12"/>
        <v>0</v>
      </c>
      <c r="W44" s="55" t="b">
        <f t="shared" si="13"/>
        <v>0</v>
      </c>
      <c r="X44" s="55" t="b">
        <f t="shared" si="14"/>
        <v>0</v>
      </c>
      <c r="Y44" s="106" t="b">
        <f t="shared" si="15"/>
        <v>0</v>
      </c>
    </row>
    <row r="45" spans="2:25">
      <c r="B45" s="16"/>
      <c r="C45" s="54">
        <f t="shared" si="0"/>
        <v>47</v>
      </c>
      <c r="D45" s="50">
        <f t="shared" si="1"/>
        <v>47398.375830098972</v>
      </c>
      <c r="E45" s="50">
        <f t="shared" si="2"/>
        <v>3791.8700664079179</v>
      </c>
      <c r="F45" s="50">
        <f t="shared" si="3"/>
        <v>3838.9758485217635</v>
      </c>
      <c r="G45" s="50">
        <f t="shared" si="10"/>
        <v>71766.586701695327</v>
      </c>
      <c r="H45" s="50">
        <f t="shared" si="4"/>
        <v>75605.562550217088</v>
      </c>
      <c r="I45" s="18"/>
      <c r="L45" s="16"/>
      <c r="M45" s="54">
        <f t="shared" si="5"/>
        <v>47</v>
      </c>
      <c r="N45" s="50">
        <f t="shared" si="6"/>
        <v>47398.375830098972</v>
      </c>
      <c r="O45" s="50">
        <f t="shared" si="7"/>
        <v>3791.8700664079179</v>
      </c>
      <c r="P45" s="50">
        <f t="shared" si="8"/>
        <v>3922.3408957606953</v>
      </c>
      <c r="Q45" s="50">
        <f t="shared" si="11"/>
        <v>121630.75976680282</v>
      </c>
      <c r="R45" s="50">
        <f t="shared" si="9"/>
        <v>125553.10066256352</v>
      </c>
      <c r="S45" s="18"/>
      <c r="V45" s="123" t="b">
        <f t="shared" si="12"/>
        <v>0</v>
      </c>
      <c r="W45" s="55" t="b">
        <f t="shared" si="13"/>
        <v>0</v>
      </c>
      <c r="X45" s="55" t="b">
        <f t="shared" si="14"/>
        <v>0</v>
      </c>
      <c r="Y45" s="106" t="b">
        <f t="shared" si="15"/>
        <v>0</v>
      </c>
    </row>
    <row r="46" spans="2:25">
      <c r="B46" s="16"/>
      <c r="C46" s="54">
        <f t="shared" si="0"/>
        <v>48</v>
      </c>
      <c r="D46" s="50">
        <f t="shared" si="1"/>
        <v>49294.310863302933</v>
      </c>
      <c r="E46" s="50">
        <f t="shared" si="2"/>
        <v>3943.5448690642347</v>
      </c>
      <c r="F46" s="50">
        <f t="shared" si="3"/>
        <v>3992.534882462634</v>
      </c>
      <c r="G46" s="50">
        <f t="shared" si="10"/>
        <v>77495.701613972502</v>
      </c>
      <c r="H46" s="50">
        <f t="shared" si="4"/>
        <v>81488.236496435129</v>
      </c>
      <c r="I46" s="18"/>
      <c r="L46" s="16"/>
      <c r="M46" s="54">
        <f t="shared" si="5"/>
        <v>48</v>
      </c>
      <c r="N46" s="50">
        <f t="shared" si="6"/>
        <v>49294.310863302933</v>
      </c>
      <c r="O46" s="50">
        <f t="shared" si="7"/>
        <v>3943.5448690642347</v>
      </c>
      <c r="P46" s="50">
        <f t="shared" si="8"/>
        <v>4079.2345315911234</v>
      </c>
      <c r="Q46" s="50">
        <f t="shared" si="11"/>
        <v>134341.81770894298</v>
      </c>
      <c r="R46" s="50">
        <f t="shared" si="9"/>
        <v>138421.0522405341</v>
      </c>
      <c r="S46" s="18"/>
      <c r="V46" s="123" t="b">
        <f t="shared" si="12"/>
        <v>0</v>
      </c>
      <c r="W46" s="55" t="b">
        <f t="shared" si="13"/>
        <v>0</v>
      </c>
      <c r="X46" s="55" t="b">
        <f t="shared" si="14"/>
        <v>0</v>
      </c>
      <c r="Y46" s="106" t="b">
        <f t="shared" si="15"/>
        <v>0</v>
      </c>
    </row>
    <row r="47" spans="2:25">
      <c r="B47" s="16"/>
      <c r="C47" s="54">
        <f t="shared" si="0"/>
        <v>49</v>
      </c>
      <c r="D47" s="50">
        <f t="shared" si="1"/>
        <v>51266.083297835052</v>
      </c>
      <c r="E47" s="50">
        <f t="shared" si="2"/>
        <v>4101.2866638268042</v>
      </c>
      <c r="F47" s="50">
        <f t="shared" si="3"/>
        <v>4152.2362777611397</v>
      </c>
      <c r="G47" s="50">
        <f t="shared" si="10"/>
        <v>83525.442408846007</v>
      </c>
      <c r="H47" s="50">
        <f t="shared" si="4"/>
        <v>87677.678686607149</v>
      </c>
      <c r="I47" s="18"/>
      <c r="L47" s="16"/>
      <c r="M47" s="54">
        <f t="shared" si="5"/>
        <v>49</v>
      </c>
      <c r="N47" s="50">
        <f t="shared" si="6"/>
        <v>51266.083297835052</v>
      </c>
      <c r="O47" s="50">
        <f t="shared" si="7"/>
        <v>4101.2866638268042</v>
      </c>
      <c r="P47" s="50">
        <f t="shared" si="8"/>
        <v>4242.4039128547684</v>
      </c>
      <c r="Q47" s="50">
        <f t="shared" si="11"/>
        <v>148110.5258973715</v>
      </c>
      <c r="R47" s="50">
        <f t="shared" si="9"/>
        <v>152352.92981022625</v>
      </c>
      <c r="S47" s="18"/>
      <c r="V47" s="123" t="b">
        <f t="shared" si="12"/>
        <v>0</v>
      </c>
      <c r="W47" s="55" t="b">
        <f t="shared" si="13"/>
        <v>0</v>
      </c>
      <c r="X47" s="55" t="b">
        <f t="shared" si="14"/>
        <v>0</v>
      </c>
      <c r="Y47" s="106" t="b">
        <f t="shared" si="15"/>
        <v>0</v>
      </c>
    </row>
    <row r="48" spans="2:25">
      <c r="B48" s="16"/>
      <c r="C48" s="54">
        <f t="shared" si="0"/>
        <v>50</v>
      </c>
      <c r="D48" s="50">
        <f t="shared" si="1"/>
        <v>53316.726629748453</v>
      </c>
      <c r="E48" s="50">
        <f t="shared" si="2"/>
        <v>4265.338130379876</v>
      </c>
      <c r="F48" s="50">
        <f t="shared" si="3"/>
        <v>4318.3257288715849</v>
      </c>
      <c r="G48" s="50">
        <f t="shared" si="10"/>
        <v>89869.620653772319</v>
      </c>
      <c r="H48" s="50">
        <f t="shared" si="4"/>
        <v>94187.946382643902</v>
      </c>
      <c r="I48" s="18"/>
      <c r="L48" s="16"/>
      <c r="M48" s="54">
        <f t="shared" si="5"/>
        <v>50</v>
      </c>
      <c r="N48" s="50">
        <f t="shared" si="6"/>
        <v>53316.726629748453</v>
      </c>
      <c r="O48" s="50">
        <f t="shared" si="7"/>
        <v>4265.338130379876</v>
      </c>
      <c r="P48" s="50">
        <f t="shared" si="8"/>
        <v>4412.1000693689584</v>
      </c>
      <c r="Q48" s="50">
        <f t="shared" si="11"/>
        <v>163017.63489694209</v>
      </c>
      <c r="R48" s="50">
        <f t="shared" si="9"/>
        <v>167429.73496631105</v>
      </c>
      <c r="S48" s="18"/>
      <c r="V48" s="123" t="b">
        <f t="shared" si="12"/>
        <v>0</v>
      </c>
      <c r="W48" s="55" t="b">
        <f t="shared" si="13"/>
        <v>0</v>
      </c>
      <c r="X48" s="55" t="b">
        <f t="shared" si="14"/>
        <v>0</v>
      </c>
      <c r="Y48" s="106" t="b">
        <f t="shared" si="15"/>
        <v>0</v>
      </c>
    </row>
    <row r="49" spans="2:25">
      <c r="B49" s="16"/>
      <c r="C49" s="54">
        <f t="shared" si="0"/>
        <v>51</v>
      </c>
      <c r="D49" s="50">
        <f t="shared" si="1"/>
        <v>55449.395694938394</v>
      </c>
      <c r="E49" s="50">
        <f t="shared" si="2"/>
        <v>4435.9516555950713</v>
      </c>
      <c r="F49" s="50">
        <f t="shared" si="3"/>
        <v>4491.0587580264482</v>
      </c>
      <c r="G49" s="50">
        <f t="shared" si="10"/>
        <v>96542.645042209988</v>
      </c>
      <c r="H49" s="50">
        <f t="shared" si="4"/>
        <v>101033.70380023644</v>
      </c>
      <c r="I49" s="18"/>
      <c r="L49" s="16"/>
      <c r="M49" s="54">
        <f t="shared" si="5"/>
        <v>51</v>
      </c>
      <c r="N49" s="50">
        <f t="shared" si="6"/>
        <v>55449.395694938394</v>
      </c>
      <c r="O49" s="50">
        <f t="shared" si="7"/>
        <v>4435.9516555950713</v>
      </c>
      <c r="P49" s="50">
        <f t="shared" si="8"/>
        <v>4588.5840721437171</v>
      </c>
      <c r="Q49" s="50">
        <f t="shared" si="11"/>
        <v>179149.81641395282</v>
      </c>
      <c r="R49" s="50">
        <f t="shared" si="9"/>
        <v>183738.40048609654</v>
      </c>
      <c r="S49" s="18"/>
      <c r="V49" s="123" t="b">
        <f t="shared" si="12"/>
        <v>0</v>
      </c>
      <c r="W49" s="55" t="b">
        <f t="shared" si="13"/>
        <v>0</v>
      </c>
      <c r="X49" s="55" t="b">
        <f t="shared" si="14"/>
        <v>0</v>
      </c>
      <c r="Y49" s="106" t="b">
        <f t="shared" si="15"/>
        <v>0</v>
      </c>
    </row>
    <row r="50" spans="2:25">
      <c r="B50" s="16"/>
      <c r="C50" s="54">
        <f t="shared" si="0"/>
        <v>52</v>
      </c>
      <c r="D50" s="50">
        <f t="shared" si="1"/>
        <v>57667.371522735928</v>
      </c>
      <c r="E50" s="50">
        <f t="shared" si="2"/>
        <v>4613.389721818874</v>
      </c>
      <c r="F50" s="50">
        <f t="shared" si="3"/>
        <v>4670.7011083475063</v>
      </c>
      <c r="G50" s="50">
        <f t="shared" si="10"/>
        <v>103559.54639524235</v>
      </c>
      <c r="H50" s="50">
        <f t="shared" si="4"/>
        <v>108230.24750358985</v>
      </c>
      <c r="I50" s="18"/>
      <c r="L50" s="16"/>
      <c r="M50" s="54">
        <f t="shared" si="5"/>
        <v>52</v>
      </c>
      <c r="N50" s="50">
        <f t="shared" si="6"/>
        <v>57667.371522735928</v>
      </c>
      <c r="O50" s="50">
        <f t="shared" si="7"/>
        <v>4613.389721818874</v>
      </c>
      <c r="P50" s="50">
        <f t="shared" si="8"/>
        <v>4772.1274350294661</v>
      </c>
      <c r="Q50" s="50">
        <f t="shared" si="11"/>
        <v>196600.0885201233</v>
      </c>
      <c r="R50" s="50">
        <f t="shared" si="9"/>
        <v>201372.21595515276</v>
      </c>
      <c r="S50" s="18"/>
      <c r="V50" s="123" t="b">
        <f t="shared" si="12"/>
        <v>0</v>
      </c>
      <c r="W50" s="55" t="b">
        <f t="shared" si="13"/>
        <v>0</v>
      </c>
      <c r="X50" s="55" t="b">
        <f t="shared" si="14"/>
        <v>0</v>
      </c>
      <c r="Y50" s="106" t="b">
        <f t="shared" si="15"/>
        <v>0</v>
      </c>
    </row>
    <row r="51" spans="2:25">
      <c r="B51" s="16"/>
      <c r="C51" s="54">
        <f t="shared" si="0"/>
        <v>53</v>
      </c>
      <c r="D51" s="50">
        <f t="shared" si="1"/>
        <v>59974.066383645368</v>
      </c>
      <c r="E51" s="50">
        <f t="shared" si="2"/>
        <v>4797.9253106916294</v>
      </c>
      <c r="F51" s="50">
        <f t="shared" si="3"/>
        <v>4857.5291526814071</v>
      </c>
      <c r="G51" s="50">
        <f t="shared" si="10"/>
        <v>110936.00369117959</v>
      </c>
      <c r="H51" s="50">
        <f t="shared" si="4"/>
        <v>115793.532843861</v>
      </c>
      <c r="I51" s="18"/>
      <c r="L51" s="16"/>
      <c r="M51" s="54">
        <f t="shared" si="5"/>
        <v>53</v>
      </c>
      <c r="N51" s="50">
        <f t="shared" si="6"/>
        <v>59974.066383645368</v>
      </c>
      <c r="O51" s="50">
        <f t="shared" si="7"/>
        <v>4797.9253106916294</v>
      </c>
      <c r="P51" s="50">
        <f t="shared" si="8"/>
        <v>4963.0125324306455</v>
      </c>
      <c r="Q51" s="50">
        <f t="shared" si="11"/>
        <v>215468.27107201348</v>
      </c>
      <c r="R51" s="50">
        <f t="shared" si="9"/>
        <v>220431.28360444412</v>
      </c>
      <c r="S51" s="18"/>
      <c r="V51" s="123" t="b">
        <f t="shared" si="12"/>
        <v>0</v>
      </c>
      <c r="W51" s="55" t="b">
        <f t="shared" si="13"/>
        <v>0</v>
      </c>
      <c r="X51" s="55" t="b">
        <f t="shared" si="14"/>
        <v>0</v>
      </c>
      <c r="Y51" s="106" t="b">
        <f t="shared" si="15"/>
        <v>0</v>
      </c>
    </row>
    <row r="52" spans="2:25">
      <c r="B52" s="16"/>
      <c r="C52" s="54">
        <f t="shared" si="0"/>
        <v>54</v>
      </c>
      <c r="D52" s="50">
        <f t="shared" si="1"/>
        <v>62373.029038991182</v>
      </c>
      <c r="E52" s="50">
        <f t="shared" si="2"/>
        <v>4989.8423231192946</v>
      </c>
      <c r="F52" s="50">
        <f t="shared" si="3"/>
        <v>5051.8303187886631</v>
      </c>
      <c r="G52" s="50">
        <f t="shared" si="10"/>
        <v>118688.37116495751</v>
      </c>
      <c r="H52" s="50">
        <f t="shared" si="4"/>
        <v>123740.20148374618</v>
      </c>
      <c r="I52" s="18"/>
      <c r="L52" s="16"/>
      <c r="M52" s="54">
        <f t="shared" si="5"/>
        <v>54</v>
      </c>
      <c r="N52" s="50">
        <f t="shared" si="6"/>
        <v>62373.029038991182</v>
      </c>
      <c r="O52" s="50">
        <f t="shared" si="7"/>
        <v>4989.8423231192946</v>
      </c>
      <c r="P52" s="50">
        <f t="shared" si="8"/>
        <v>5161.533033727871</v>
      </c>
      <c r="Q52" s="50">
        <f t="shared" si="11"/>
        <v>235861.47345675522</v>
      </c>
      <c r="R52" s="50">
        <f t="shared" si="9"/>
        <v>241023.00649048309</v>
      </c>
      <c r="S52" s="18"/>
      <c r="V52" s="123" t="b">
        <f t="shared" si="12"/>
        <v>0</v>
      </c>
      <c r="W52" s="55" t="b">
        <f t="shared" si="13"/>
        <v>0</v>
      </c>
      <c r="X52" s="55" t="b">
        <f t="shared" si="14"/>
        <v>0</v>
      </c>
      <c r="Y52" s="106" t="b">
        <f t="shared" si="15"/>
        <v>0</v>
      </c>
    </row>
    <row r="53" spans="2:25">
      <c r="B53" s="16"/>
      <c r="C53" s="54">
        <f t="shared" si="0"/>
        <v>55</v>
      </c>
      <c r="D53" s="50">
        <f t="shared" si="1"/>
        <v>64867.950200550833</v>
      </c>
      <c r="E53" s="50">
        <f t="shared" si="2"/>
        <v>5189.4360160440665</v>
      </c>
      <c r="F53" s="50">
        <f t="shared" si="3"/>
        <v>5253.9035315402098</v>
      </c>
      <c r="G53" s="50">
        <f t="shared" si="10"/>
        <v>126833.70652083981</v>
      </c>
      <c r="H53" s="50">
        <f t="shared" si="4"/>
        <v>132087.61005238001</v>
      </c>
      <c r="I53" s="18"/>
      <c r="L53" s="16"/>
      <c r="M53" s="54">
        <f t="shared" si="5"/>
        <v>55</v>
      </c>
      <c r="N53" s="50">
        <f t="shared" si="6"/>
        <v>64867.950200550833</v>
      </c>
      <c r="O53" s="50">
        <f t="shared" si="7"/>
        <v>5189.4360160440665</v>
      </c>
      <c r="P53" s="50">
        <f t="shared" si="8"/>
        <v>5367.9943550769858</v>
      </c>
      <c r="Q53" s="50">
        <f t="shared" si="11"/>
        <v>257894.61694481692</v>
      </c>
      <c r="R53" s="50">
        <f t="shared" si="9"/>
        <v>263262.61129989394</v>
      </c>
      <c r="S53" s="18"/>
      <c r="V53" s="123" t="b">
        <f t="shared" si="12"/>
        <v>0</v>
      </c>
      <c r="W53" s="55" t="b">
        <f t="shared" si="13"/>
        <v>0</v>
      </c>
      <c r="X53" s="55" t="b">
        <f t="shared" si="14"/>
        <v>0</v>
      </c>
      <c r="Y53" s="106" t="b">
        <f t="shared" si="15"/>
        <v>0</v>
      </c>
    </row>
    <row r="54" spans="2:25">
      <c r="B54" s="16"/>
      <c r="C54" s="54">
        <f t="shared" si="0"/>
        <v>56</v>
      </c>
      <c r="D54" s="50">
        <f t="shared" si="1"/>
        <v>67462.668208572868</v>
      </c>
      <c r="E54" s="50">
        <f t="shared" si="2"/>
        <v>5397.0134566858296</v>
      </c>
      <c r="F54" s="50">
        <f t="shared" si="3"/>
        <v>5464.059672801819</v>
      </c>
      <c r="G54" s="50">
        <f t="shared" si="10"/>
        <v>135389.8003036895</v>
      </c>
      <c r="H54" s="50">
        <f t="shared" si="4"/>
        <v>140853.85997649131</v>
      </c>
      <c r="I54" s="18"/>
      <c r="L54" s="16"/>
      <c r="M54" s="54">
        <f t="shared" si="5"/>
        <v>56</v>
      </c>
      <c r="N54" s="50">
        <f t="shared" si="6"/>
        <v>67462.668208572868</v>
      </c>
      <c r="O54" s="50">
        <f t="shared" si="7"/>
        <v>5397.0134566858296</v>
      </c>
      <c r="P54" s="50">
        <f t="shared" si="8"/>
        <v>5582.7141292800661</v>
      </c>
      <c r="Q54" s="50">
        <f t="shared" si="11"/>
        <v>281690.99409088655</v>
      </c>
      <c r="R54" s="50">
        <f t="shared" si="9"/>
        <v>287273.70822016662</v>
      </c>
      <c r="S54" s="18"/>
      <c r="V54" s="123" t="b">
        <f t="shared" si="12"/>
        <v>0</v>
      </c>
      <c r="W54" s="55" t="b">
        <f t="shared" si="13"/>
        <v>0</v>
      </c>
      <c r="X54" s="55" t="b">
        <f t="shared" si="14"/>
        <v>0</v>
      </c>
      <c r="Y54" s="106" t="b">
        <f t="shared" si="15"/>
        <v>0</v>
      </c>
    </row>
    <row r="55" spans="2:25">
      <c r="B55" s="16"/>
      <c r="C55" s="54">
        <f t="shared" si="0"/>
        <v>57</v>
      </c>
      <c r="D55" s="50">
        <f t="shared" si="1"/>
        <v>70161.174936915791</v>
      </c>
      <c r="E55" s="50">
        <f t="shared" si="2"/>
        <v>5612.8939949532632</v>
      </c>
      <c r="F55" s="50">
        <f t="shared" si="3"/>
        <v>5682.6220597138918</v>
      </c>
      <c r="G55" s="50">
        <f t="shared" si="10"/>
        <v>144375.20647590357</v>
      </c>
      <c r="H55" s="50">
        <f t="shared" si="4"/>
        <v>150057.82853561747</v>
      </c>
      <c r="I55" s="18"/>
      <c r="L55" s="16"/>
      <c r="M55" s="54">
        <f t="shared" si="5"/>
        <v>57</v>
      </c>
      <c r="N55" s="50">
        <f t="shared" si="6"/>
        <v>70161.174936915791</v>
      </c>
      <c r="O55" s="50">
        <f t="shared" si="7"/>
        <v>5612.8939949532632</v>
      </c>
      <c r="P55" s="50">
        <f t="shared" si="8"/>
        <v>5806.0226944512688</v>
      </c>
      <c r="Q55" s="50">
        <f t="shared" si="11"/>
        <v>307382.86779557832</v>
      </c>
      <c r="R55" s="50">
        <f t="shared" si="9"/>
        <v>313188.89049002959</v>
      </c>
      <c r="S55" s="18"/>
      <c r="V55" s="123" t="b">
        <f t="shared" si="12"/>
        <v>0</v>
      </c>
      <c r="W55" s="55" t="b">
        <f t="shared" si="13"/>
        <v>0</v>
      </c>
      <c r="X55" s="55" t="b">
        <f t="shared" si="14"/>
        <v>0</v>
      </c>
      <c r="Y55" s="106" t="b">
        <f t="shared" si="15"/>
        <v>0</v>
      </c>
    </row>
    <row r="56" spans="2:25">
      <c r="B56" s="16"/>
      <c r="C56" s="54">
        <f t="shared" si="0"/>
        <v>58</v>
      </c>
      <c r="D56" s="50">
        <f t="shared" si="1"/>
        <v>72967.621934392431</v>
      </c>
      <c r="E56" s="50">
        <f t="shared" si="2"/>
        <v>5837.4097547513948</v>
      </c>
      <c r="F56" s="50">
        <f t="shared" si="3"/>
        <v>5909.9269421024483</v>
      </c>
      <c r="G56" s="50">
        <f t="shared" si="10"/>
        <v>153809.2742490079</v>
      </c>
      <c r="H56" s="50">
        <f t="shared" si="4"/>
        <v>159719.20119111033</v>
      </c>
      <c r="I56" s="18"/>
      <c r="L56" s="16"/>
      <c r="M56" s="54">
        <f t="shared" si="5"/>
        <v>58</v>
      </c>
      <c r="N56" s="50">
        <f t="shared" si="6"/>
        <v>72967.621934392431</v>
      </c>
      <c r="O56" s="50">
        <f t="shared" si="7"/>
        <v>5837.4097547513948</v>
      </c>
      <c r="P56" s="50">
        <f t="shared" si="8"/>
        <v>6038.2636022293209</v>
      </c>
      <c r="Q56" s="50">
        <f t="shared" si="11"/>
        <v>335112.11282433168</v>
      </c>
      <c r="R56" s="50">
        <f t="shared" si="9"/>
        <v>341150.37642656098</v>
      </c>
      <c r="S56" s="18"/>
      <c r="V56" s="123" t="b">
        <f t="shared" si="12"/>
        <v>0</v>
      </c>
      <c r="W56" s="55" t="b">
        <f t="shared" si="13"/>
        <v>0</v>
      </c>
      <c r="X56" s="55" t="b">
        <f t="shared" si="14"/>
        <v>0</v>
      </c>
      <c r="Y56" s="106" t="b">
        <f t="shared" si="15"/>
        <v>0</v>
      </c>
    </row>
    <row r="57" spans="2:25">
      <c r="B57" s="16"/>
      <c r="C57" s="54">
        <f t="shared" si="0"/>
        <v>59</v>
      </c>
      <c r="D57" s="50">
        <f t="shared" si="1"/>
        <v>75886.326811768129</v>
      </c>
      <c r="E57" s="50">
        <f t="shared" si="2"/>
        <v>6070.9061449414503</v>
      </c>
      <c r="F57" s="50">
        <f t="shared" si="3"/>
        <v>6146.3240197865462</v>
      </c>
      <c r="G57" s="50">
        <f t="shared" si="10"/>
        <v>163712.18122088807</v>
      </c>
      <c r="H57" s="50">
        <f t="shared" si="4"/>
        <v>169858.50524067463</v>
      </c>
      <c r="I57" s="18"/>
      <c r="L57" s="16"/>
      <c r="M57" s="54">
        <f t="shared" si="5"/>
        <v>59</v>
      </c>
      <c r="N57" s="50">
        <f t="shared" si="6"/>
        <v>75886.326811768129</v>
      </c>
      <c r="O57" s="50">
        <f t="shared" si="7"/>
        <v>6070.9061449414503</v>
      </c>
      <c r="P57" s="50">
        <f t="shared" si="8"/>
        <v>6279.7941463184934</v>
      </c>
      <c r="Q57" s="50">
        <f t="shared" si="11"/>
        <v>365030.90277642029</v>
      </c>
      <c r="R57" s="50">
        <f t="shared" si="9"/>
        <v>371310.6969227388</v>
      </c>
      <c r="S57" s="18"/>
      <c r="V57" s="123" t="b">
        <f t="shared" si="12"/>
        <v>0</v>
      </c>
      <c r="W57" s="55" t="b">
        <f t="shared" si="13"/>
        <v>0</v>
      </c>
      <c r="X57" s="55" t="b">
        <f t="shared" si="14"/>
        <v>0</v>
      </c>
      <c r="Y57" s="106" t="b">
        <f t="shared" si="15"/>
        <v>0</v>
      </c>
    </row>
    <row r="58" spans="2:25">
      <c r="B58" s="16"/>
      <c r="C58" s="54">
        <f t="shared" si="0"/>
        <v>60</v>
      </c>
      <c r="D58" s="50">
        <f t="shared" si="1"/>
        <v>78921.779884238858</v>
      </c>
      <c r="E58" s="50">
        <f t="shared" si="2"/>
        <v>6313.7423907391085</v>
      </c>
      <c r="F58" s="50">
        <f t="shared" si="3"/>
        <v>6392.1769805780086</v>
      </c>
      <c r="G58" s="50">
        <f t="shared" si="10"/>
        <v>174104.96787169148</v>
      </c>
      <c r="H58" s="50">
        <f t="shared" si="4"/>
        <v>180497.1448522695</v>
      </c>
      <c r="I58" s="18"/>
      <c r="L58" s="16"/>
      <c r="M58" s="54">
        <f t="shared" si="5"/>
        <v>60</v>
      </c>
      <c r="N58" s="50">
        <f t="shared" si="6"/>
        <v>78921.779884238858</v>
      </c>
      <c r="O58" s="50">
        <f t="shared" si="7"/>
        <v>6313.7423907391085</v>
      </c>
      <c r="P58" s="50">
        <f t="shared" si="8"/>
        <v>6530.9859121712334</v>
      </c>
      <c r="Q58" s="50">
        <f t="shared" si="11"/>
        <v>397302.44570733054</v>
      </c>
      <c r="R58" s="50">
        <f t="shared" si="9"/>
        <v>403833.43161950179</v>
      </c>
      <c r="S58" s="18"/>
      <c r="V58" s="123" t="b">
        <f t="shared" si="12"/>
        <v>0</v>
      </c>
      <c r="W58" s="55" t="b">
        <f t="shared" si="13"/>
        <v>0</v>
      </c>
      <c r="X58" s="55" t="b">
        <f t="shared" si="14"/>
        <v>0</v>
      </c>
      <c r="Y58" s="106" t="b">
        <f t="shared" si="15"/>
        <v>0</v>
      </c>
    </row>
    <row r="59" spans="2:25">
      <c r="B59" s="16"/>
      <c r="C59" s="54">
        <f t="shared" si="0"/>
        <v>61</v>
      </c>
      <c r="D59" s="50">
        <f t="shared" si="1"/>
        <v>82078.651079608419</v>
      </c>
      <c r="E59" s="50">
        <f t="shared" si="2"/>
        <v>6566.2920863686741</v>
      </c>
      <c r="F59" s="50">
        <f t="shared" si="3"/>
        <v>6647.8640598011298</v>
      </c>
      <c r="G59" s="50">
        <f t="shared" si="10"/>
        <v>185009.57347357622</v>
      </c>
      <c r="H59" s="50">
        <f t="shared" si="4"/>
        <v>191657.43753337735</v>
      </c>
      <c r="I59" s="18"/>
      <c r="L59" s="16"/>
      <c r="M59" s="54">
        <f t="shared" si="5"/>
        <v>61</v>
      </c>
      <c r="N59" s="50">
        <f t="shared" si="6"/>
        <v>82078.651079608419</v>
      </c>
      <c r="O59" s="50">
        <f t="shared" si="7"/>
        <v>6566.2920863686741</v>
      </c>
      <c r="P59" s="50">
        <f t="shared" si="8"/>
        <v>6792.2253486580839</v>
      </c>
      <c r="Q59" s="50">
        <f t="shared" si="11"/>
        <v>432101.77183286694</v>
      </c>
      <c r="R59" s="50">
        <f t="shared" si="9"/>
        <v>438893.99718152505</v>
      </c>
      <c r="S59" s="18"/>
      <c r="V59" s="123" t="b">
        <f t="shared" si="12"/>
        <v>0</v>
      </c>
      <c r="W59" s="55" t="b">
        <f t="shared" si="13"/>
        <v>0</v>
      </c>
      <c r="X59" s="55" t="b">
        <f t="shared" si="14"/>
        <v>0</v>
      </c>
      <c r="Y59" s="106" t="b">
        <f t="shared" si="15"/>
        <v>0</v>
      </c>
    </row>
    <row r="60" spans="2:25">
      <c r="B60" s="16"/>
      <c r="C60" s="54">
        <f t="shared" si="0"/>
        <v>62</v>
      </c>
      <c r="D60" s="50">
        <f t="shared" si="1"/>
        <v>85361.797122792763</v>
      </c>
      <c r="E60" s="50">
        <f t="shared" si="2"/>
        <v>6828.9437698234215</v>
      </c>
      <c r="F60" s="50">
        <f t="shared" si="3"/>
        <v>6913.7786221931756</v>
      </c>
      <c r="G60" s="50">
        <f t="shared" si="10"/>
        <v>196448.87347171176</v>
      </c>
      <c r="H60" s="50">
        <f t="shared" si="4"/>
        <v>203362.65209390494</v>
      </c>
      <c r="I60" s="18"/>
      <c r="L60" s="16"/>
      <c r="M60" s="54">
        <f t="shared" si="5"/>
        <v>62</v>
      </c>
      <c r="N60" s="50">
        <f t="shared" si="6"/>
        <v>85361.797122792763</v>
      </c>
      <c r="O60" s="50">
        <f t="shared" si="7"/>
        <v>6828.9437698234215</v>
      </c>
      <c r="P60" s="50">
        <f t="shared" si="8"/>
        <v>7063.9143626044079</v>
      </c>
      <c r="Q60" s="50">
        <f t="shared" si="11"/>
        <v>469616.57698423183</v>
      </c>
      <c r="R60" s="50">
        <f t="shared" si="9"/>
        <v>476680.49134683621</v>
      </c>
      <c r="S60" s="18"/>
      <c r="V60" s="123" t="b">
        <f t="shared" si="12"/>
        <v>0</v>
      </c>
      <c r="W60" s="55" t="b">
        <f t="shared" si="13"/>
        <v>0</v>
      </c>
      <c r="X60" s="55" t="b">
        <f t="shared" si="14"/>
        <v>0</v>
      </c>
      <c r="Y60" s="106" t="b">
        <f t="shared" si="15"/>
        <v>0</v>
      </c>
    </row>
    <row r="61" spans="2:25">
      <c r="B61" s="16"/>
      <c r="C61" s="54">
        <f t="shared" si="0"/>
        <v>63</v>
      </c>
      <c r="D61" s="50">
        <f t="shared" si="1"/>
        <v>88776.269007704483</v>
      </c>
      <c r="E61" s="50">
        <f t="shared" si="2"/>
        <v>7102.1015206163584</v>
      </c>
      <c r="F61" s="50">
        <f t="shared" si="3"/>
        <v>7190.3297670809025</v>
      </c>
      <c r="G61" s="50">
        <f t="shared" si="10"/>
        <v>208446.71839625255</v>
      </c>
      <c r="H61" s="50">
        <f t="shared" si="4"/>
        <v>215637.04816333344</v>
      </c>
      <c r="I61" s="18"/>
      <c r="L61" s="16"/>
      <c r="M61" s="54">
        <f t="shared" si="5"/>
        <v>63</v>
      </c>
      <c r="N61" s="50">
        <f t="shared" si="6"/>
        <v>88776.269007704483</v>
      </c>
      <c r="O61" s="50">
        <f t="shared" si="7"/>
        <v>7102.1015206163584</v>
      </c>
      <c r="P61" s="50">
        <f t="shared" si="8"/>
        <v>7346.4709371085837</v>
      </c>
      <c r="Q61" s="50">
        <f t="shared" si="11"/>
        <v>510048.12574111478</v>
      </c>
      <c r="R61" s="50">
        <f t="shared" si="9"/>
        <v>517394.59667822334</v>
      </c>
      <c r="S61" s="18"/>
      <c r="V61" s="123" t="b">
        <f t="shared" si="12"/>
        <v>0</v>
      </c>
      <c r="W61" s="55" t="b">
        <f t="shared" si="13"/>
        <v>0</v>
      </c>
      <c r="X61" s="55" t="b">
        <f t="shared" si="14"/>
        <v>0</v>
      </c>
      <c r="Y61" s="106" t="b">
        <f t="shared" si="15"/>
        <v>0</v>
      </c>
    </row>
    <row r="62" spans="2:25">
      <c r="B62" s="16"/>
      <c r="C62" s="54">
        <f t="shared" si="0"/>
        <v>64</v>
      </c>
      <c r="D62" s="50">
        <f t="shared" si="1"/>
        <v>92327.319768012661</v>
      </c>
      <c r="E62" s="50">
        <f t="shared" si="2"/>
        <v>7386.1855814410128</v>
      </c>
      <c r="F62" s="50">
        <f t="shared" si="3"/>
        <v>7477.9429577641386</v>
      </c>
      <c r="G62" s="50">
        <f t="shared" si="10"/>
        <v>221027.97436741675</v>
      </c>
      <c r="H62" s="50">
        <f t="shared" si="4"/>
        <v>228505.9173251809</v>
      </c>
      <c r="I62" s="18"/>
      <c r="L62" s="16"/>
      <c r="M62" s="54">
        <f t="shared" si="5"/>
        <v>64</v>
      </c>
      <c r="N62" s="50">
        <f t="shared" si="6"/>
        <v>92327.319768012661</v>
      </c>
      <c r="O62" s="50">
        <f t="shared" si="7"/>
        <v>7386.1855814410128</v>
      </c>
      <c r="P62" s="50">
        <f t="shared" si="8"/>
        <v>7640.3297745929276</v>
      </c>
      <c r="Q62" s="50">
        <f t="shared" si="11"/>
        <v>553612.21844569896</v>
      </c>
      <c r="R62" s="50">
        <f t="shared" si="9"/>
        <v>561252.54822029185</v>
      </c>
      <c r="S62" s="18"/>
      <c r="V62" s="124" t="b">
        <f t="shared" si="12"/>
        <v>0</v>
      </c>
      <c r="W62" s="125" t="b">
        <f t="shared" si="13"/>
        <v>0</v>
      </c>
      <c r="X62" s="125" t="b">
        <f t="shared" si="14"/>
        <v>0</v>
      </c>
      <c r="Y62" s="126" t="b">
        <f t="shared" si="15"/>
        <v>0</v>
      </c>
    </row>
    <row r="63" spans="2:25">
      <c r="B63" s="20"/>
      <c r="C63" s="35"/>
      <c r="D63" s="35"/>
      <c r="E63" s="35"/>
      <c r="F63" s="35"/>
      <c r="G63" s="35"/>
      <c r="H63" s="35"/>
      <c r="I63" s="21"/>
      <c r="L63" s="20"/>
      <c r="M63" s="35"/>
      <c r="N63" s="35"/>
      <c r="O63" s="35"/>
      <c r="P63" s="35"/>
      <c r="Q63" s="35"/>
      <c r="R63" s="35"/>
      <c r="S63"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4" tint="0.79998168889431442"/>
  </sheetPr>
  <dimension ref="A1:Y70"/>
  <sheetViews>
    <sheetView showGridLines="0" zoomScale="80" zoomScaleNormal="80" workbookViewId="0"/>
  </sheetViews>
  <sheetFormatPr defaultRowHeight="15"/>
  <cols>
    <col min="1" max="1" width="3.28515625" customWidth="1"/>
    <col min="3" max="3" width="17.140625" customWidth="1"/>
    <col min="4" max="8" width="22.140625" customWidth="1"/>
    <col min="10" max="11" width="3.28515625" customWidth="1"/>
    <col min="13" max="13" width="17.140625" customWidth="1"/>
    <col min="14" max="18" width="22.140625" customWidth="1"/>
    <col min="20" max="20" width="3.28515625" customWidth="1"/>
    <col min="24" max="25" width="10.5703125" customWidth="1"/>
  </cols>
  <sheetData>
    <row r="1" spans="1:25" ht="20.25" thickBot="1">
      <c r="A1" s="3"/>
      <c r="B1" s="3" t="s">
        <v>44</v>
      </c>
      <c r="C1" s="3"/>
      <c r="D1" s="3"/>
      <c r="E1" s="3"/>
      <c r="F1" s="3"/>
      <c r="G1" s="3"/>
      <c r="H1" s="3"/>
      <c r="I1" s="3"/>
      <c r="J1" s="3"/>
      <c r="K1" s="3"/>
      <c r="L1" s="3"/>
      <c r="M1" s="3"/>
      <c r="N1" s="3"/>
      <c r="O1" s="3"/>
      <c r="P1" s="3"/>
      <c r="Q1" s="3"/>
      <c r="R1" s="3"/>
      <c r="S1" s="3"/>
      <c r="T1" s="3"/>
    </row>
    <row r="2" spans="1:25" ht="15.75" thickTop="1"/>
    <row r="3" spans="1:25">
      <c r="B3" s="10"/>
      <c r="C3" s="11"/>
      <c r="D3" s="11"/>
      <c r="E3" s="11"/>
      <c r="F3" s="11"/>
      <c r="G3" s="11"/>
      <c r="H3" s="11"/>
      <c r="I3" s="12"/>
      <c r="L3" s="10"/>
      <c r="M3" s="11"/>
      <c r="N3" s="11"/>
      <c r="O3" s="11"/>
      <c r="P3" s="11"/>
      <c r="Q3" s="11"/>
      <c r="R3" s="11"/>
      <c r="S3" s="12"/>
    </row>
    <row r="4" spans="1:25" ht="20.25" thickBot="1">
      <c r="A4" s="9"/>
      <c r="B4" s="13"/>
      <c r="C4" s="14" t="s">
        <v>42</v>
      </c>
      <c r="D4" s="14"/>
      <c r="E4" s="14"/>
      <c r="F4" s="14"/>
      <c r="G4" s="14"/>
      <c r="H4" s="14"/>
      <c r="I4" s="15"/>
      <c r="J4" s="9"/>
      <c r="K4" s="9"/>
      <c r="L4" s="13"/>
      <c r="M4" s="14" t="s">
        <v>43</v>
      </c>
      <c r="N4" s="14"/>
      <c r="O4" s="14"/>
      <c r="P4" s="14"/>
      <c r="Q4" s="14"/>
      <c r="R4" s="14"/>
      <c r="S4" s="15"/>
      <c r="T4" s="9"/>
    </row>
    <row r="5" spans="1:25" ht="15.75" thickTop="1">
      <c r="B5" s="16"/>
      <c r="C5" s="17"/>
      <c r="D5" s="17"/>
      <c r="E5" s="17"/>
      <c r="F5" s="17"/>
      <c r="G5" s="46" t="s">
        <v>38</v>
      </c>
      <c r="H5" s="46"/>
      <c r="I5" s="18"/>
      <c r="L5" s="16"/>
      <c r="M5" s="17"/>
      <c r="N5" s="17"/>
      <c r="O5" s="17"/>
      <c r="P5" s="17"/>
      <c r="Q5" s="46" t="s">
        <v>38</v>
      </c>
      <c r="R5" s="46"/>
      <c r="S5" s="18"/>
    </row>
    <row r="6" spans="1:25">
      <c r="B6" s="16"/>
      <c r="C6" s="17"/>
      <c r="D6" s="36"/>
      <c r="E6" s="37" t="s">
        <v>35</v>
      </c>
      <c r="F6" s="38">
        <f>CurrentAge</f>
        <v>25</v>
      </c>
      <c r="G6" s="55" t="str">
        <f>IF(F6=CurrentAge,"ok",IF(F6&lt;0,"Current Age must be greater than zero","Note: Parameter Override"))</f>
        <v>ok</v>
      </c>
      <c r="H6" s="55"/>
      <c r="I6" s="18"/>
      <c r="L6" s="16"/>
      <c r="M6" s="17"/>
      <c r="N6" s="36"/>
      <c r="O6" s="37" t="s">
        <v>35</v>
      </c>
      <c r="P6" s="38">
        <f>CurrentAge</f>
        <v>25</v>
      </c>
      <c r="Q6" s="55" t="str">
        <f>IF(P6=CurrentAge,"ok",IF(P6&lt;0,"Current Age must be greater than zero","Note: Parameter Override"))</f>
        <v>ok</v>
      </c>
      <c r="R6" s="55"/>
      <c r="S6" s="18"/>
    </row>
    <row r="7" spans="1:25">
      <c r="B7" s="16"/>
      <c r="C7" s="17"/>
      <c r="D7" s="39"/>
      <c r="E7" s="19" t="s">
        <v>34</v>
      </c>
      <c r="F7" s="1">
        <v>35</v>
      </c>
      <c r="G7" s="55" t="str">
        <f>IF(F7=ContStartAge,"ok","Note: Parameter Override")</f>
        <v>Note: Parameter Override</v>
      </c>
      <c r="H7" s="55"/>
      <c r="I7" s="18"/>
      <c r="L7" s="16"/>
      <c r="M7" s="17"/>
      <c r="N7" s="39"/>
      <c r="O7" s="19" t="s">
        <v>34</v>
      </c>
      <c r="P7" s="1">
        <v>45</v>
      </c>
      <c r="Q7" s="55" t="str">
        <f>IF(P7=ContStartAge,"ok","Note: Parameter Override")</f>
        <v>Note: Parameter Override</v>
      </c>
      <c r="R7" s="55"/>
      <c r="S7" s="18"/>
    </row>
    <row r="8" spans="1:25">
      <c r="B8" s="16"/>
      <c r="C8" s="17"/>
      <c r="D8" s="39"/>
      <c r="E8" s="19" t="s">
        <v>33</v>
      </c>
      <c r="F8" s="40">
        <f>RetirementAge</f>
        <v>65</v>
      </c>
      <c r="G8" s="55" t="str">
        <f>IF(F8&gt;MAX(C30:C69)+1,"Sheet will only work up to age "&amp;MAX(C30:C69)+1&amp;". Please copy formulae down to increase the maximum age",IF(F8&lt;F6,"Retirement Age must be greater than current age",IF(F8=RetirementAge,"ok","Note: Parameter Override")))</f>
        <v>ok</v>
      </c>
      <c r="H8" s="55"/>
      <c r="I8" s="18"/>
      <c r="L8" s="16"/>
      <c r="M8" s="17"/>
      <c r="N8" s="39"/>
      <c r="O8" s="19" t="s">
        <v>33</v>
      </c>
      <c r="P8" s="40">
        <f>RetirementAge</f>
        <v>65</v>
      </c>
      <c r="Q8" s="55" t="str">
        <f>IF(P8&gt;MAX(M30:M69)+1,"Sheet will only work up to age "&amp;MAX(M30:M69)+1&amp;". Please copy formulae down to increase the maximum age",IF(P8&lt;P6,"Retirement Age must be greater than current age",IF(P8=RetirementAge,"ok","Note: Parameter Override")))</f>
        <v>ok</v>
      </c>
      <c r="R8" s="55"/>
      <c r="S8" s="18"/>
    </row>
    <row r="9" spans="1:25">
      <c r="B9" s="16"/>
      <c r="C9" s="17"/>
      <c r="D9" s="39"/>
      <c r="E9" s="19" t="s">
        <v>5</v>
      </c>
      <c r="F9" s="41">
        <f>ContRate</f>
        <v>0.08</v>
      </c>
      <c r="G9" s="55" t="str">
        <f>IF(F9=ContRate,"ok","Note: Parameter Override")</f>
        <v>ok</v>
      </c>
      <c r="H9" s="55"/>
      <c r="I9" s="18"/>
      <c r="L9" s="16"/>
      <c r="M9" s="17"/>
      <c r="N9" s="39"/>
      <c r="O9" s="19" t="s">
        <v>5</v>
      </c>
      <c r="P9" s="41">
        <f>ContRate</f>
        <v>0.08</v>
      </c>
      <c r="Q9" s="55" t="str">
        <f>IF(P9=ContRate,"ok","Note: Parameter Override")</f>
        <v>ok</v>
      </c>
      <c r="R9" s="55"/>
      <c r="S9" s="18"/>
    </row>
    <row r="10" spans="1:25">
      <c r="B10" s="16"/>
      <c r="C10" s="17"/>
      <c r="D10" s="39"/>
      <c r="E10" s="19" t="s">
        <v>0</v>
      </c>
      <c r="F10" s="42">
        <f>StartSal</f>
        <v>20000</v>
      </c>
      <c r="G10" s="55" t="str">
        <f>IF(F10=StartSal,"ok","Note: Parameter Override")</f>
        <v>ok</v>
      </c>
      <c r="H10" s="55"/>
      <c r="I10" s="18"/>
      <c r="L10" s="16"/>
      <c r="M10" s="17"/>
      <c r="N10" s="39"/>
      <c r="O10" s="19" t="s">
        <v>0</v>
      </c>
      <c r="P10" s="42">
        <f>StartSal</f>
        <v>20000</v>
      </c>
      <c r="Q10" s="55" t="str">
        <f>IF(P10=StartSal,"ok","Note: Parameter Override")</f>
        <v>ok</v>
      </c>
      <c r="R10" s="55"/>
      <c r="S10" s="18"/>
    </row>
    <row r="11" spans="1:25">
      <c r="B11" s="16"/>
      <c r="C11" s="17"/>
      <c r="D11" s="39"/>
      <c r="E11" s="19" t="s">
        <v>1</v>
      </c>
      <c r="F11" s="41">
        <f>SalInc</f>
        <v>0.04</v>
      </c>
      <c r="G11" s="55" t="str">
        <f>IF(F11=SalInc,"ok","Note: Parameter Override")</f>
        <v>ok</v>
      </c>
      <c r="H11" s="55"/>
      <c r="I11" s="18"/>
      <c r="L11" s="16"/>
      <c r="M11" s="17"/>
      <c r="N11" s="39"/>
      <c r="O11" s="19" t="s">
        <v>1</v>
      </c>
      <c r="P11" s="41">
        <f>SalInc</f>
        <v>0.04</v>
      </c>
      <c r="Q11" s="55" t="str">
        <f>IF(P11=SalInc,"ok","Note: Parameter Override")</f>
        <v>ok</v>
      </c>
      <c r="R11" s="55"/>
      <c r="S11" s="18"/>
    </row>
    <row r="12" spans="1:25">
      <c r="B12" s="16"/>
      <c r="C12" s="17"/>
      <c r="D12" s="39"/>
      <c r="E12" s="19" t="s">
        <v>2</v>
      </c>
      <c r="F12" s="41">
        <f>InvRet</f>
        <v>0.05</v>
      </c>
      <c r="G12" s="55" t="str">
        <f>IF(F12=InvRet,"ok","Note: Parameter Override")</f>
        <v>ok</v>
      </c>
      <c r="H12" s="55"/>
      <c r="I12" s="18"/>
      <c r="L12" s="16"/>
      <c r="M12" s="17"/>
      <c r="N12" s="39"/>
      <c r="O12" s="19" t="s">
        <v>2</v>
      </c>
      <c r="P12" s="41">
        <f>InvRet</f>
        <v>0.05</v>
      </c>
      <c r="Q12" s="55" t="str">
        <f>IF(P12=InvRet,"ok","Note: Parameter Override")</f>
        <v>ok</v>
      </c>
      <c r="R12" s="55"/>
      <c r="S12" s="18"/>
    </row>
    <row r="13" spans="1:25">
      <c r="B13" s="16"/>
      <c r="C13" s="17"/>
      <c r="D13" s="39"/>
      <c r="E13" s="19" t="s">
        <v>3</v>
      </c>
      <c r="F13" s="41">
        <f>PriceInf</f>
        <v>2.5000000000000001E-2</v>
      </c>
      <c r="G13" s="55" t="str">
        <f>IF(F13=PriceInf,"ok","Note: Parameter Override")</f>
        <v>ok</v>
      </c>
      <c r="H13" s="55"/>
      <c r="I13" s="18"/>
      <c r="L13" s="16"/>
      <c r="M13" s="17"/>
      <c r="N13" s="39"/>
      <c r="O13" s="19" t="s">
        <v>3</v>
      </c>
      <c r="P13" s="41">
        <f>PriceInf</f>
        <v>2.5000000000000001E-2</v>
      </c>
      <c r="Q13" s="55" t="str">
        <f>IF(P13=PriceInf,"ok","Note: Parameter Override")</f>
        <v>ok</v>
      </c>
      <c r="R13" s="55"/>
      <c r="S13" s="18"/>
    </row>
    <row r="14" spans="1:25">
      <c r="B14" s="16"/>
      <c r="C14" s="17"/>
      <c r="D14" s="39"/>
      <c r="E14" s="19" t="s">
        <v>10</v>
      </c>
      <c r="F14" s="40">
        <f>F8-F6</f>
        <v>40</v>
      </c>
      <c r="G14" s="17"/>
      <c r="H14" s="17"/>
      <c r="I14" s="18"/>
      <c r="L14" s="16"/>
      <c r="M14" s="17"/>
      <c r="N14" s="39"/>
      <c r="O14" s="19" t="s">
        <v>10</v>
      </c>
      <c r="P14" s="40">
        <f>P8-P6</f>
        <v>40</v>
      </c>
      <c r="Q14" s="17"/>
      <c r="R14" s="17"/>
      <c r="S14" s="18"/>
      <c r="V14" t="s">
        <v>116</v>
      </c>
    </row>
    <row r="15" spans="1:25">
      <c r="B15" s="16"/>
      <c r="C15" s="17"/>
      <c r="D15" s="43"/>
      <c r="E15" s="44" t="s">
        <v>37</v>
      </c>
      <c r="F15" s="45">
        <f>MATCH(H$29,C$29:H$29,0)</f>
        <v>6</v>
      </c>
      <c r="G15" s="17"/>
      <c r="H15" s="17"/>
      <c r="I15" s="18"/>
      <c r="L15" s="16"/>
      <c r="M15" s="17"/>
      <c r="N15" s="43"/>
      <c r="O15" s="44" t="s">
        <v>37</v>
      </c>
      <c r="P15" s="45">
        <f>MATCH(R$29,M$29:R$29,0)</f>
        <v>6</v>
      </c>
      <c r="Q15" s="17"/>
      <c r="R15" s="17"/>
      <c r="S15" s="18"/>
      <c r="V15" s="118"/>
      <c r="W15" s="119" t="s">
        <v>100</v>
      </c>
      <c r="X15" s="119" t="s">
        <v>114</v>
      </c>
      <c r="Y15" s="120" t="s">
        <v>115</v>
      </c>
    </row>
    <row r="16" spans="1:25">
      <c r="B16" s="16"/>
      <c r="C16" s="17"/>
      <c r="D16" s="17"/>
      <c r="E16" s="19"/>
      <c r="F16" s="17"/>
      <c r="G16" s="17"/>
      <c r="H16" s="17"/>
      <c r="I16" s="18"/>
      <c r="L16" s="16"/>
      <c r="M16" s="17"/>
      <c r="N16" s="17"/>
      <c r="O16" s="19"/>
      <c r="P16" s="17"/>
      <c r="Q16" s="17"/>
      <c r="R16" s="17"/>
      <c r="S16" s="18"/>
      <c r="V16" s="121" t="str">
        <f>"Check of Salary at age "&amp;K62</f>
        <v xml:space="preserve">Check of Salary at age </v>
      </c>
      <c r="W16" s="46">
        <f>F9*F10*((1+F11)^(C69-C30))</f>
        <v>7386.1855814410119</v>
      </c>
      <c r="X16" s="55" t="str">
        <f>IF(ROUND(W16-E69,8)=0,"ok","check")</f>
        <v>ok</v>
      </c>
      <c r="Y16" s="106" t="str">
        <f>IF(ROUND(O69-W16,8)=0,"ok","check")</f>
        <v>ok</v>
      </c>
    </row>
    <row r="17" spans="1:25" ht="30">
      <c r="A17" s="5"/>
      <c r="B17" s="58"/>
      <c r="C17" s="59"/>
      <c r="D17" s="60"/>
      <c r="E17" s="61" t="s">
        <v>36</v>
      </c>
      <c r="F17" s="62">
        <f>VLOOKUP(F8-1,C$30:H$69,F15)</f>
        <v>261749.7289947602</v>
      </c>
      <c r="G17" s="63"/>
      <c r="H17" s="63"/>
      <c r="I17" s="64"/>
      <c r="L17" s="58"/>
      <c r="M17" s="59"/>
      <c r="N17" s="60"/>
      <c r="O17" s="61" t="s">
        <v>36</v>
      </c>
      <c r="P17" s="62">
        <f>VLOOKUP(P8-1,M$30:R$69,P15)</f>
        <v>166030.33974215656</v>
      </c>
      <c r="Q17" s="63"/>
      <c r="R17" s="63"/>
      <c r="S17" s="64"/>
      <c r="V17" s="121" t="s">
        <v>102</v>
      </c>
      <c r="W17" s="46"/>
      <c r="X17" s="55" t="str">
        <f>IF(COUNTIF(V24:V62,TRUE)&gt;0,"Check","ok")</f>
        <v>ok</v>
      </c>
      <c r="Y17" s="106" t="str">
        <f>IF(COUNTIF(X24:X62,TRUE)&gt;0,"Check","ok")</f>
        <v>ok</v>
      </c>
    </row>
    <row r="18" spans="1:25">
      <c r="A18" s="5"/>
      <c r="B18" s="58"/>
      <c r="C18" s="65"/>
      <c r="D18" s="63"/>
      <c r="E18" s="63"/>
      <c r="F18" s="66"/>
      <c r="G18" s="63"/>
      <c r="H18" s="63"/>
      <c r="I18" s="64"/>
      <c r="L18" s="58"/>
      <c r="M18" s="65"/>
      <c r="N18" s="63"/>
      <c r="O18" s="63"/>
      <c r="P18" s="66"/>
      <c r="Q18" s="63"/>
      <c r="R18" s="63"/>
      <c r="S18" s="64"/>
      <c r="V18" s="121" t="s">
        <v>105</v>
      </c>
      <c r="W18" s="46"/>
      <c r="X18" s="55" t="str">
        <f>IF(COUNTIF(W24:W62,TRUE)&gt;0,"Check","ok")</f>
        <v>ok</v>
      </c>
      <c r="Y18" s="106" t="str">
        <f>IF(COUNTIF(X24:X62,TRUE)&gt;0,"Check","ok")</f>
        <v>ok</v>
      </c>
    </row>
    <row r="19" spans="1:25">
      <c r="A19" s="5"/>
      <c r="B19" s="58"/>
      <c r="C19" s="65"/>
      <c r="D19" s="63"/>
      <c r="E19" s="67" t="s">
        <v>7</v>
      </c>
      <c r="F19" s="68">
        <f>F17*((1+F13)^-F14)</f>
        <v>97483.614822250194</v>
      </c>
      <c r="G19" s="136" t="s">
        <v>160</v>
      </c>
      <c r="H19" s="136"/>
      <c r="I19" s="64"/>
      <c r="L19" s="58"/>
      <c r="M19" s="65"/>
      <c r="N19" s="63"/>
      <c r="O19" s="67" t="s">
        <v>7</v>
      </c>
      <c r="P19" s="68">
        <f>P17*((1+P13)^-P14)</f>
        <v>61834.782982929966</v>
      </c>
      <c r="Q19" s="136" t="s">
        <v>161</v>
      </c>
      <c r="R19" s="136"/>
      <c r="S19" s="64"/>
      <c r="V19" s="121" t="s">
        <v>112</v>
      </c>
      <c r="W19" s="46"/>
      <c r="X19" s="55" t="str">
        <f>IF(F17&lt;F19,"check","ok")</f>
        <v>ok</v>
      </c>
      <c r="Y19" s="106" t="str">
        <f>IF(P17&lt;P19,"check","ok")</f>
        <v>ok</v>
      </c>
    </row>
    <row r="20" spans="1:25">
      <c r="A20" s="5"/>
      <c r="B20" s="58"/>
      <c r="C20" s="65"/>
      <c r="D20" s="63"/>
      <c r="E20" s="67"/>
      <c r="F20" s="68"/>
      <c r="G20" s="47"/>
      <c r="H20" s="47"/>
      <c r="I20" s="64"/>
      <c r="L20" s="58"/>
      <c r="M20" s="65"/>
      <c r="N20" s="63"/>
      <c r="O20" s="67"/>
      <c r="P20" s="68"/>
      <c r="Q20" s="47"/>
      <c r="R20" s="47"/>
      <c r="S20" s="64"/>
      <c r="V20" s="121"/>
      <c r="W20" s="46"/>
      <c r="X20" s="17"/>
      <c r="Y20" s="40"/>
    </row>
    <row r="21" spans="1:25">
      <c r="A21" s="5"/>
      <c r="B21" s="58"/>
      <c r="C21" s="65"/>
      <c r="D21" s="63"/>
      <c r="E21" s="90" t="s">
        <v>153</v>
      </c>
      <c r="F21" s="68">
        <f>'Base Scenario Fund Calcs'!$F$19</f>
        <v>136712.40376310027</v>
      </c>
      <c r="G21" s="47"/>
      <c r="H21" s="47"/>
      <c r="I21" s="64"/>
      <c r="L21" s="58"/>
      <c r="M21" s="65"/>
      <c r="N21" s="63"/>
      <c r="O21" s="90" t="s">
        <v>153</v>
      </c>
      <c r="P21" s="68">
        <f>'Base Scenario Fund Calcs'!$F$19</f>
        <v>136712.40376310027</v>
      </c>
      <c r="Q21" s="47"/>
      <c r="R21" s="47"/>
      <c r="S21" s="64"/>
      <c r="V21" s="39"/>
      <c r="W21" s="17"/>
      <c r="X21" s="17"/>
      <c r="Y21" s="40"/>
    </row>
    <row r="22" spans="1:25">
      <c r="B22" s="69"/>
      <c r="C22" s="70"/>
      <c r="D22" s="47"/>
      <c r="E22" s="47"/>
      <c r="F22" s="71"/>
      <c r="G22" s="47"/>
      <c r="H22" s="47"/>
      <c r="I22" s="72"/>
      <c r="L22" s="69"/>
      <c r="M22" s="70"/>
      <c r="N22" s="47"/>
      <c r="O22" s="47"/>
      <c r="P22" s="71"/>
      <c r="Q22" s="47"/>
      <c r="R22" s="47"/>
      <c r="S22" s="72"/>
      <c r="V22" s="121"/>
      <c r="W22" s="46"/>
      <c r="X22" s="46"/>
      <c r="Y22" s="122"/>
    </row>
    <row r="23" spans="1:25" ht="15" customHeight="1">
      <c r="B23" s="69"/>
      <c r="C23" s="141" t="s">
        <v>154</v>
      </c>
      <c r="D23" s="142"/>
      <c r="E23" s="142"/>
      <c r="F23" s="73">
        <f>F19/'Base Scenario Fund Calcs'!$F$19</f>
        <v>0.71305611004523772</v>
      </c>
      <c r="G23" s="47"/>
      <c r="H23" s="47"/>
      <c r="I23" s="72"/>
      <c r="L23" s="69"/>
      <c r="M23" s="141" t="s">
        <v>154</v>
      </c>
      <c r="N23" s="142"/>
      <c r="O23" s="142"/>
      <c r="P23" s="73">
        <f>P19/'Base Scenario Fund Calcs'!$F$19</f>
        <v>0.45229826468474144</v>
      </c>
      <c r="Q23" s="47"/>
      <c r="R23" s="47"/>
      <c r="S23" s="72"/>
      <c r="V23" s="123"/>
      <c r="W23" s="55"/>
      <c r="X23" s="55"/>
      <c r="Y23" s="106"/>
    </row>
    <row r="24" spans="1:25">
      <c r="A24" s="8"/>
      <c r="B24" s="69"/>
      <c r="C24" s="74"/>
      <c r="D24" s="51"/>
      <c r="E24" s="51"/>
      <c r="F24" s="75"/>
      <c r="G24" s="47"/>
      <c r="H24" s="47"/>
      <c r="I24" s="72"/>
      <c r="L24" s="69"/>
      <c r="M24" s="74"/>
      <c r="N24" s="51"/>
      <c r="O24" s="51"/>
      <c r="P24" s="75"/>
      <c r="Q24" s="47"/>
      <c r="R24" s="47"/>
      <c r="S24" s="72"/>
      <c r="V24" s="123"/>
      <c r="W24" s="55"/>
      <c r="X24" s="55"/>
      <c r="Y24" s="106"/>
    </row>
    <row r="25" spans="1:25">
      <c r="B25" s="69"/>
      <c r="C25" s="70"/>
      <c r="D25" s="76"/>
      <c r="E25" s="77" t="s">
        <v>12</v>
      </c>
      <c r="F25" s="78">
        <f>'Base Scenario Fund Calcs'!$F$9/F23</f>
        <v>0.11219313441536129</v>
      </c>
      <c r="G25" s="136" t="s">
        <v>162</v>
      </c>
      <c r="H25" s="136"/>
      <c r="I25" s="72"/>
      <c r="L25" s="69"/>
      <c r="M25" s="70"/>
      <c r="N25" s="76"/>
      <c r="O25" s="77" t="s">
        <v>12</v>
      </c>
      <c r="P25" s="78">
        <f>'Base Scenario Fund Calcs'!$F$9/P23</f>
        <v>0.1768744349611007</v>
      </c>
      <c r="Q25" s="136" t="s">
        <v>162</v>
      </c>
      <c r="R25" s="136"/>
      <c r="S25" s="72"/>
      <c r="V25" s="123"/>
      <c r="W25" s="55"/>
      <c r="X25" s="55"/>
      <c r="Y25" s="106"/>
    </row>
    <row r="26" spans="1:25">
      <c r="B26" s="69"/>
      <c r="C26" s="79"/>
      <c r="D26" s="80"/>
      <c r="E26" s="80"/>
      <c r="F26" s="81"/>
      <c r="G26" s="47"/>
      <c r="H26" s="47"/>
      <c r="I26" s="72"/>
      <c r="L26" s="69"/>
      <c r="M26" s="79"/>
      <c r="N26" s="80"/>
      <c r="O26" s="80"/>
      <c r="P26" s="81"/>
      <c r="Q26" s="47"/>
      <c r="R26" s="47"/>
      <c r="S26" s="72"/>
      <c r="V26" s="123"/>
      <c r="W26" s="55"/>
      <c r="X26" s="55"/>
      <c r="Y26" s="106"/>
    </row>
    <row r="27" spans="1:25">
      <c r="B27" s="69"/>
      <c r="C27" s="47"/>
      <c r="D27" s="47"/>
      <c r="E27" s="77"/>
      <c r="F27" s="47"/>
      <c r="G27" s="47"/>
      <c r="H27" s="47"/>
      <c r="I27" s="72"/>
      <c r="L27" s="69"/>
      <c r="M27" s="47"/>
      <c r="N27" s="47"/>
      <c r="O27" s="77"/>
      <c r="P27" s="47"/>
      <c r="Q27" s="47"/>
      <c r="R27" s="47"/>
      <c r="S27" s="72"/>
      <c r="V27" s="123"/>
      <c r="W27" s="55"/>
      <c r="X27" s="55"/>
      <c r="Y27" s="106"/>
    </row>
    <row r="28" spans="1:25">
      <c r="B28" s="16"/>
      <c r="C28" s="17"/>
      <c r="D28" s="17"/>
      <c r="E28" s="32"/>
      <c r="F28" s="17"/>
      <c r="G28" s="17"/>
      <c r="H28" s="17"/>
      <c r="I28" s="18"/>
      <c r="L28" s="16"/>
      <c r="M28" s="17"/>
      <c r="N28" s="17"/>
      <c r="O28" s="32"/>
      <c r="P28" s="17"/>
      <c r="Q28" s="17"/>
      <c r="R28" s="17"/>
      <c r="S28" s="18"/>
      <c r="V28" s="123"/>
      <c r="W28" s="55"/>
      <c r="X28" s="55"/>
      <c r="Y28" s="106"/>
    </row>
    <row r="29" spans="1:25" ht="45">
      <c r="B29" s="33"/>
      <c r="C29" s="52" t="s">
        <v>4</v>
      </c>
      <c r="D29" s="52" t="s">
        <v>8</v>
      </c>
      <c r="E29" s="52" t="s">
        <v>9</v>
      </c>
      <c r="F29" s="52" t="s">
        <v>163</v>
      </c>
      <c r="G29" s="52" t="s">
        <v>164</v>
      </c>
      <c r="H29" s="52" t="s">
        <v>170</v>
      </c>
      <c r="I29" s="34"/>
      <c r="J29" s="5"/>
      <c r="K29" s="5"/>
      <c r="L29" s="33"/>
      <c r="M29" s="52" t="s">
        <v>4</v>
      </c>
      <c r="N29" s="52" t="s">
        <v>8</v>
      </c>
      <c r="O29" s="52" t="s">
        <v>9</v>
      </c>
      <c r="P29" s="52" t="s">
        <v>163</v>
      </c>
      <c r="Q29" s="52" t="s">
        <v>164</v>
      </c>
      <c r="R29" s="52" t="s">
        <v>170</v>
      </c>
      <c r="S29" s="34"/>
      <c r="T29" s="5"/>
      <c r="V29" s="121" t="s">
        <v>104</v>
      </c>
      <c r="W29" s="46" t="s">
        <v>103</v>
      </c>
      <c r="X29" s="46" t="s">
        <v>104</v>
      </c>
      <c r="Y29" s="122" t="s">
        <v>103</v>
      </c>
    </row>
    <row r="30" spans="1:25">
      <c r="B30" s="16"/>
      <c r="C30" s="53">
        <v>25</v>
      </c>
      <c r="D30" s="48">
        <f>F$10</f>
        <v>20000</v>
      </c>
      <c r="E30" s="50">
        <f t="shared" ref="E30:E69" si="0">IF(C30&lt;F$7,0,D30*F$9)</f>
        <v>0</v>
      </c>
      <c r="F30" s="50">
        <f>E30*((1+$F$12)^0.5)</f>
        <v>0</v>
      </c>
      <c r="G30" s="48">
        <v>0</v>
      </c>
      <c r="H30" s="50">
        <f>F30+G30</f>
        <v>0</v>
      </c>
      <c r="I30" s="18"/>
      <c r="J30" s="5"/>
      <c r="K30" s="5"/>
      <c r="L30" s="16"/>
      <c r="M30" s="53">
        <v>25</v>
      </c>
      <c r="N30" s="48">
        <f>P$10</f>
        <v>20000</v>
      </c>
      <c r="O30" s="50">
        <f t="shared" ref="O30:O69" si="1">IF(M30&lt;P$7,0,N30*P$9)</f>
        <v>0</v>
      </c>
      <c r="P30" s="50">
        <f>O30*((1+$P$12)^0.5)</f>
        <v>0</v>
      </c>
      <c r="Q30" s="48">
        <v>0</v>
      </c>
      <c r="R30" s="50">
        <f>P30+Q30</f>
        <v>0</v>
      </c>
      <c r="S30" s="18"/>
      <c r="T30" s="5"/>
      <c r="V30" s="123"/>
      <c r="W30" s="55"/>
      <c r="X30" s="55"/>
      <c r="Y30" s="106"/>
    </row>
    <row r="31" spans="1:25">
      <c r="B31" s="16"/>
      <c r="C31" s="54">
        <f t="shared" ref="C31:C69" si="2">C30+1</f>
        <v>26</v>
      </c>
      <c r="D31" s="50">
        <f t="shared" ref="D31:D69" si="3">D30*(1+F$11)</f>
        <v>20800</v>
      </c>
      <c r="E31" s="50">
        <f t="shared" si="0"/>
        <v>0</v>
      </c>
      <c r="F31" s="50">
        <f t="shared" ref="F31:F69" si="4">E31*((1+$F$12)^0.5)</f>
        <v>0</v>
      </c>
      <c r="G31" s="50">
        <f>H30*(1+$F$12)</f>
        <v>0</v>
      </c>
      <c r="H31" s="50">
        <f t="shared" ref="H31:H69" si="5">F31+G31</f>
        <v>0</v>
      </c>
      <c r="I31" s="18"/>
      <c r="J31" s="5"/>
      <c r="K31" s="5"/>
      <c r="L31" s="16"/>
      <c r="M31" s="54">
        <f t="shared" ref="M31:M69" si="6">M30+1</f>
        <v>26</v>
      </c>
      <c r="N31" s="50">
        <f t="shared" ref="N31:N69" si="7">N30*(1+P$11)</f>
        <v>20800</v>
      </c>
      <c r="O31" s="50">
        <f t="shared" si="1"/>
        <v>0</v>
      </c>
      <c r="P31" s="50">
        <f t="shared" ref="P31:P69" si="8">O31*((1+$P$12)^0.5)</f>
        <v>0</v>
      </c>
      <c r="Q31" s="50">
        <f>R30*(1+$P$12)</f>
        <v>0</v>
      </c>
      <c r="R31" s="50">
        <f t="shared" ref="R31:R69" si="9">P31+Q31</f>
        <v>0</v>
      </c>
      <c r="S31" s="18"/>
      <c r="T31" s="5"/>
      <c r="V31" s="123" t="b">
        <f>D31&lt;D30</f>
        <v>0</v>
      </c>
      <c r="W31" s="55" t="b">
        <f>G31&lt;G30</f>
        <v>0</v>
      </c>
      <c r="X31" s="55" t="b">
        <f>N31&lt;N30</f>
        <v>0</v>
      </c>
      <c r="Y31" s="106" t="b">
        <f>Q31&lt;Q30</f>
        <v>0</v>
      </c>
    </row>
    <row r="32" spans="1:25">
      <c r="B32" s="16"/>
      <c r="C32" s="54">
        <f t="shared" si="2"/>
        <v>27</v>
      </c>
      <c r="D32" s="50">
        <f t="shared" si="3"/>
        <v>21632</v>
      </c>
      <c r="E32" s="50">
        <f t="shared" si="0"/>
        <v>0</v>
      </c>
      <c r="F32" s="50">
        <f t="shared" si="4"/>
        <v>0</v>
      </c>
      <c r="G32" s="50">
        <f t="shared" ref="G32:G69" si="10">H31*(1+$F$12)</f>
        <v>0</v>
      </c>
      <c r="H32" s="50">
        <f t="shared" si="5"/>
        <v>0</v>
      </c>
      <c r="I32" s="18"/>
      <c r="L32" s="16"/>
      <c r="M32" s="54">
        <f t="shared" si="6"/>
        <v>27</v>
      </c>
      <c r="N32" s="50">
        <f t="shared" si="7"/>
        <v>21632</v>
      </c>
      <c r="O32" s="50">
        <f t="shared" si="1"/>
        <v>0</v>
      </c>
      <c r="P32" s="50">
        <f t="shared" si="8"/>
        <v>0</v>
      </c>
      <c r="Q32" s="50">
        <f t="shared" ref="Q32:Q69" si="11">R31*(1+$P$12)</f>
        <v>0</v>
      </c>
      <c r="R32" s="50">
        <f t="shared" si="9"/>
        <v>0</v>
      </c>
      <c r="S32" s="18"/>
      <c r="V32" s="123" t="b">
        <f t="shared" ref="V32:V69" si="12">D32&lt;D31</f>
        <v>0</v>
      </c>
      <c r="W32" s="55" t="b">
        <f t="shared" ref="W32:W69" si="13">G32&lt;G31</f>
        <v>0</v>
      </c>
      <c r="X32" s="55" t="b">
        <f t="shared" ref="X32:X69" si="14">N32&lt;N31</f>
        <v>0</v>
      </c>
      <c r="Y32" s="106" t="b">
        <f t="shared" ref="Y32:Y69" si="15">Q32&lt;Q31</f>
        <v>0</v>
      </c>
    </row>
    <row r="33" spans="2:25">
      <c r="B33" s="16"/>
      <c r="C33" s="54">
        <f t="shared" si="2"/>
        <v>28</v>
      </c>
      <c r="D33" s="50">
        <f t="shared" si="3"/>
        <v>22497.280000000002</v>
      </c>
      <c r="E33" s="50">
        <f t="shared" si="0"/>
        <v>0</v>
      </c>
      <c r="F33" s="50">
        <f t="shared" si="4"/>
        <v>0</v>
      </c>
      <c r="G33" s="50">
        <f t="shared" si="10"/>
        <v>0</v>
      </c>
      <c r="H33" s="50">
        <f t="shared" si="5"/>
        <v>0</v>
      </c>
      <c r="I33" s="18"/>
      <c r="L33" s="16"/>
      <c r="M33" s="54">
        <f t="shared" si="6"/>
        <v>28</v>
      </c>
      <c r="N33" s="50">
        <f t="shared" si="7"/>
        <v>22497.280000000002</v>
      </c>
      <c r="O33" s="50">
        <f t="shared" si="1"/>
        <v>0</v>
      </c>
      <c r="P33" s="50">
        <f t="shared" si="8"/>
        <v>0</v>
      </c>
      <c r="Q33" s="50">
        <f t="shared" si="11"/>
        <v>0</v>
      </c>
      <c r="R33" s="50">
        <f t="shared" si="9"/>
        <v>0</v>
      </c>
      <c r="S33" s="18"/>
      <c r="V33" s="123" t="b">
        <f t="shared" si="12"/>
        <v>0</v>
      </c>
      <c r="W33" s="55" t="b">
        <f t="shared" si="13"/>
        <v>0</v>
      </c>
      <c r="X33" s="55" t="b">
        <f t="shared" si="14"/>
        <v>0</v>
      </c>
      <c r="Y33" s="106" t="b">
        <f t="shared" si="15"/>
        <v>0</v>
      </c>
    </row>
    <row r="34" spans="2:25">
      <c r="B34" s="16"/>
      <c r="C34" s="54">
        <f t="shared" si="2"/>
        <v>29</v>
      </c>
      <c r="D34" s="50">
        <f t="shared" si="3"/>
        <v>23397.171200000004</v>
      </c>
      <c r="E34" s="50">
        <f t="shared" si="0"/>
        <v>0</v>
      </c>
      <c r="F34" s="50">
        <f t="shared" si="4"/>
        <v>0</v>
      </c>
      <c r="G34" s="50">
        <f t="shared" si="10"/>
        <v>0</v>
      </c>
      <c r="H34" s="50">
        <f t="shared" si="5"/>
        <v>0</v>
      </c>
      <c r="I34" s="18"/>
      <c r="J34" s="8"/>
      <c r="K34" s="8"/>
      <c r="L34" s="16"/>
      <c r="M34" s="54">
        <f t="shared" si="6"/>
        <v>29</v>
      </c>
      <c r="N34" s="50">
        <f t="shared" si="7"/>
        <v>23397.171200000004</v>
      </c>
      <c r="O34" s="50">
        <f t="shared" si="1"/>
        <v>0</v>
      </c>
      <c r="P34" s="50">
        <f t="shared" si="8"/>
        <v>0</v>
      </c>
      <c r="Q34" s="50">
        <f t="shared" si="11"/>
        <v>0</v>
      </c>
      <c r="R34" s="50">
        <f t="shared" si="9"/>
        <v>0</v>
      </c>
      <c r="S34" s="18"/>
      <c r="T34" s="8"/>
      <c r="V34" s="123" t="b">
        <f t="shared" si="12"/>
        <v>0</v>
      </c>
      <c r="W34" s="55" t="b">
        <f t="shared" si="13"/>
        <v>0</v>
      </c>
      <c r="X34" s="55" t="b">
        <f t="shared" si="14"/>
        <v>0</v>
      </c>
      <c r="Y34" s="106" t="b">
        <f t="shared" si="15"/>
        <v>0</v>
      </c>
    </row>
    <row r="35" spans="2:25">
      <c r="B35" s="16"/>
      <c r="C35" s="54">
        <f t="shared" si="2"/>
        <v>30</v>
      </c>
      <c r="D35" s="50">
        <f t="shared" si="3"/>
        <v>24333.058048000006</v>
      </c>
      <c r="E35" s="50">
        <f t="shared" si="0"/>
        <v>0</v>
      </c>
      <c r="F35" s="50">
        <f t="shared" si="4"/>
        <v>0</v>
      </c>
      <c r="G35" s="50">
        <f t="shared" si="10"/>
        <v>0</v>
      </c>
      <c r="H35" s="50">
        <f t="shared" si="5"/>
        <v>0</v>
      </c>
      <c r="I35" s="18"/>
      <c r="L35" s="16"/>
      <c r="M35" s="54">
        <f t="shared" si="6"/>
        <v>30</v>
      </c>
      <c r="N35" s="50">
        <f t="shared" si="7"/>
        <v>24333.058048000006</v>
      </c>
      <c r="O35" s="50">
        <f t="shared" si="1"/>
        <v>0</v>
      </c>
      <c r="P35" s="50">
        <f t="shared" si="8"/>
        <v>0</v>
      </c>
      <c r="Q35" s="50">
        <f t="shared" si="11"/>
        <v>0</v>
      </c>
      <c r="R35" s="50">
        <f t="shared" si="9"/>
        <v>0</v>
      </c>
      <c r="S35" s="18"/>
      <c r="V35" s="123" t="b">
        <f t="shared" si="12"/>
        <v>0</v>
      </c>
      <c r="W35" s="55" t="b">
        <f t="shared" si="13"/>
        <v>0</v>
      </c>
      <c r="X35" s="55" t="b">
        <f t="shared" si="14"/>
        <v>0</v>
      </c>
      <c r="Y35" s="106" t="b">
        <f t="shared" si="15"/>
        <v>0</v>
      </c>
    </row>
    <row r="36" spans="2:25">
      <c r="B36" s="16"/>
      <c r="C36" s="54">
        <f t="shared" si="2"/>
        <v>31</v>
      </c>
      <c r="D36" s="50">
        <f t="shared" si="3"/>
        <v>25306.380369920007</v>
      </c>
      <c r="E36" s="50">
        <f t="shared" si="0"/>
        <v>0</v>
      </c>
      <c r="F36" s="50">
        <f t="shared" si="4"/>
        <v>0</v>
      </c>
      <c r="G36" s="50">
        <f t="shared" si="10"/>
        <v>0</v>
      </c>
      <c r="H36" s="50">
        <f t="shared" si="5"/>
        <v>0</v>
      </c>
      <c r="I36" s="18"/>
      <c r="L36" s="16"/>
      <c r="M36" s="54">
        <f t="shared" si="6"/>
        <v>31</v>
      </c>
      <c r="N36" s="50">
        <f t="shared" si="7"/>
        <v>25306.380369920007</v>
      </c>
      <c r="O36" s="50">
        <f t="shared" si="1"/>
        <v>0</v>
      </c>
      <c r="P36" s="50">
        <f t="shared" si="8"/>
        <v>0</v>
      </c>
      <c r="Q36" s="50">
        <f t="shared" si="11"/>
        <v>0</v>
      </c>
      <c r="R36" s="50">
        <f t="shared" si="9"/>
        <v>0</v>
      </c>
      <c r="S36" s="18"/>
      <c r="V36" s="123" t="b">
        <f t="shared" si="12"/>
        <v>0</v>
      </c>
      <c r="W36" s="55" t="b">
        <f t="shared" si="13"/>
        <v>0</v>
      </c>
      <c r="X36" s="55" t="b">
        <f t="shared" si="14"/>
        <v>0</v>
      </c>
      <c r="Y36" s="106" t="b">
        <f t="shared" si="15"/>
        <v>0</v>
      </c>
    </row>
    <row r="37" spans="2:25">
      <c r="B37" s="16"/>
      <c r="C37" s="54">
        <f t="shared" si="2"/>
        <v>32</v>
      </c>
      <c r="D37" s="50">
        <f t="shared" si="3"/>
        <v>26318.635584716809</v>
      </c>
      <c r="E37" s="50">
        <f t="shared" si="0"/>
        <v>0</v>
      </c>
      <c r="F37" s="50">
        <f t="shared" si="4"/>
        <v>0</v>
      </c>
      <c r="G37" s="50">
        <f t="shared" si="10"/>
        <v>0</v>
      </c>
      <c r="H37" s="50">
        <f t="shared" si="5"/>
        <v>0</v>
      </c>
      <c r="I37" s="18"/>
      <c r="L37" s="16"/>
      <c r="M37" s="54">
        <f t="shared" si="6"/>
        <v>32</v>
      </c>
      <c r="N37" s="50">
        <f t="shared" si="7"/>
        <v>26318.635584716809</v>
      </c>
      <c r="O37" s="50">
        <f t="shared" si="1"/>
        <v>0</v>
      </c>
      <c r="P37" s="50">
        <f t="shared" si="8"/>
        <v>0</v>
      </c>
      <c r="Q37" s="50">
        <f t="shared" si="11"/>
        <v>0</v>
      </c>
      <c r="R37" s="50">
        <f t="shared" si="9"/>
        <v>0</v>
      </c>
      <c r="S37" s="18"/>
      <c r="V37" s="123" t="b">
        <f t="shared" si="12"/>
        <v>0</v>
      </c>
      <c r="W37" s="55" t="b">
        <f t="shared" si="13"/>
        <v>0</v>
      </c>
      <c r="X37" s="55" t="b">
        <f t="shared" si="14"/>
        <v>0</v>
      </c>
      <c r="Y37" s="106" t="b">
        <f t="shared" si="15"/>
        <v>0</v>
      </c>
    </row>
    <row r="38" spans="2:25">
      <c r="B38" s="16"/>
      <c r="C38" s="54">
        <f t="shared" si="2"/>
        <v>33</v>
      </c>
      <c r="D38" s="50">
        <f t="shared" si="3"/>
        <v>27371.381008105483</v>
      </c>
      <c r="E38" s="50">
        <f t="shared" si="0"/>
        <v>0</v>
      </c>
      <c r="F38" s="50">
        <f t="shared" si="4"/>
        <v>0</v>
      </c>
      <c r="G38" s="50">
        <f t="shared" si="10"/>
        <v>0</v>
      </c>
      <c r="H38" s="50">
        <f t="shared" si="5"/>
        <v>0</v>
      </c>
      <c r="I38" s="18"/>
      <c r="L38" s="16"/>
      <c r="M38" s="54">
        <f t="shared" si="6"/>
        <v>33</v>
      </c>
      <c r="N38" s="50">
        <f t="shared" si="7"/>
        <v>27371.381008105483</v>
      </c>
      <c r="O38" s="50">
        <f t="shared" si="1"/>
        <v>0</v>
      </c>
      <c r="P38" s="50">
        <f t="shared" si="8"/>
        <v>0</v>
      </c>
      <c r="Q38" s="50">
        <f t="shared" si="11"/>
        <v>0</v>
      </c>
      <c r="R38" s="50">
        <f t="shared" si="9"/>
        <v>0</v>
      </c>
      <c r="S38" s="18"/>
      <c r="V38" s="123" t="b">
        <f t="shared" si="12"/>
        <v>0</v>
      </c>
      <c r="W38" s="55" t="b">
        <f t="shared" si="13"/>
        <v>0</v>
      </c>
      <c r="X38" s="55" t="b">
        <f t="shared" si="14"/>
        <v>0</v>
      </c>
      <c r="Y38" s="106" t="b">
        <f t="shared" si="15"/>
        <v>0</v>
      </c>
    </row>
    <row r="39" spans="2:25">
      <c r="B39" s="16"/>
      <c r="C39" s="54">
        <f t="shared" si="2"/>
        <v>34</v>
      </c>
      <c r="D39" s="50">
        <f t="shared" si="3"/>
        <v>28466.236248429705</v>
      </c>
      <c r="E39" s="50">
        <f t="shared" si="0"/>
        <v>0</v>
      </c>
      <c r="F39" s="50">
        <f t="shared" si="4"/>
        <v>0</v>
      </c>
      <c r="G39" s="50">
        <f t="shared" si="10"/>
        <v>0</v>
      </c>
      <c r="H39" s="50">
        <f t="shared" si="5"/>
        <v>0</v>
      </c>
      <c r="I39" s="18"/>
      <c r="L39" s="16"/>
      <c r="M39" s="54">
        <f t="shared" si="6"/>
        <v>34</v>
      </c>
      <c r="N39" s="50">
        <f t="shared" si="7"/>
        <v>28466.236248429705</v>
      </c>
      <c r="O39" s="50">
        <f t="shared" si="1"/>
        <v>0</v>
      </c>
      <c r="P39" s="50">
        <f t="shared" si="8"/>
        <v>0</v>
      </c>
      <c r="Q39" s="50">
        <f t="shared" si="11"/>
        <v>0</v>
      </c>
      <c r="R39" s="50">
        <f t="shared" si="9"/>
        <v>0</v>
      </c>
      <c r="S39" s="18"/>
      <c r="V39" s="123" t="b">
        <f t="shared" si="12"/>
        <v>0</v>
      </c>
      <c r="W39" s="55" t="b">
        <f t="shared" si="13"/>
        <v>0</v>
      </c>
      <c r="X39" s="55" t="b">
        <f t="shared" si="14"/>
        <v>0</v>
      </c>
      <c r="Y39" s="106" t="b">
        <f t="shared" si="15"/>
        <v>0</v>
      </c>
    </row>
    <row r="40" spans="2:25">
      <c r="B40" s="16"/>
      <c r="C40" s="54">
        <f t="shared" si="2"/>
        <v>35</v>
      </c>
      <c r="D40" s="50">
        <f t="shared" si="3"/>
        <v>29604.885698366892</v>
      </c>
      <c r="E40" s="50">
        <f t="shared" si="0"/>
        <v>2368.3908558693515</v>
      </c>
      <c r="F40" s="50">
        <f t="shared" si="4"/>
        <v>2426.8784494642164</v>
      </c>
      <c r="G40" s="50">
        <f t="shared" si="10"/>
        <v>0</v>
      </c>
      <c r="H40" s="50">
        <f t="shared" si="5"/>
        <v>2426.8784494642164</v>
      </c>
      <c r="I40" s="18"/>
      <c r="L40" s="16"/>
      <c r="M40" s="54">
        <f t="shared" si="6"/>
        <v>35</v>
      </c>
      <c r="N40" s="50">
        <f t="shared" si="7"/>
        <v>29604.885698366892</v>
      </c>
      <c r="O40" s="50">
        <f t="shared" si="1"/>
        <v>0</v>
      </c>
      <c r="P40" s="50">
        <f t="shared" si="8"/>
        <v>0</v>
      </c>
      <c r="Q40" s="50">
        <f t="shared" si="11"/>
        <v>0</v>
      </c>
      <c r="R40" s="50">
        <f t="shared" si="9"/>
        <v>0</v>
      </c>
      <c r="S40" s="18"/>
      <c r="V40" s="123" t="b">
        <f t="shared" si="12"/>
        <v>0</v>
      </c>
      <c r="W40" s="55" t="b">
        <f t="shared" si="13"/>
        <v>0</v>
      </c>
      <c r="X40" s="55" t="b">
        <f t="shared" si="14"/>
        <v>0</v>
      </c>
      <c r="Y40" s="106" t="b">
        <f t="shared" si="15"/>
        <v>0</v>
      </c>
    </row>
    <row r="41" spans="2:25">
      <c r="B41" s="16"/>
      <c r="C41" s="54">
        <f t="shared" si="2"/>
        <v>36</v>
      </c>
      <c r="D41" s="50">
        <f t="shared" si="3"/>
        <v>30789.081126301568</v>
      </c>
      <c r="E41" s="50">
        <f t="shared" si="0"/>
        <v>2463.1264901041254</v>
      </c>
      <c r="F41" s="50">
        <f t="shared" si="4"/>
        <v>2523.9535874427847</v>
      </c>
      <c r="G41" s="50">
        <f t="shared" si="10"/>
        <v>2548.2223719374274</v>
      </c>
      <c r="H41" s="50">
        <f t="shared" si="5"/>
        <v>5072.1759593802126</v>
      </c>
      <c r="I41" s="18"/>
      <c r="L41" s="16"/>
      <c r="M41" s="54">
        <f t="shared" si="6"/>
        <v>36</v>
      </c>
      <c r="N41" s="50">
        <f t="shared" si="7"/>
        <v>30789.081126301568</v>
      </c>
      <c r="O41" s="50">
        <f t="shared" si="1"/>
        <v>0</v>
      </c>
      <c r="P41" s="50">
        <f t="shared" si="8"/>
        <v>0</v>
      </c>
      <c r="Q41" s="50">
        <f t="shared" si="11"/>
        <v>0</v>
      </c>
      <c r="R41" s="50">
        <f t="shared" si="9"/>
        <v>0</v>
      </c>
      <c r="S41" s="18"/>
      <c r="V41" s="123" t="b">
        <f t="shared" si="12"/>
        <v>0</v>
      </c>
      <c r="W41" s="55" t="b">
        <f t="shared" si="13"/>
        <v>0</v>
      </c>
      <c r="X41" s="55" t="b">
        <f t="shared" si="14"/>
        <v>0</v>
      </c>
      <c r="Y41" s="106" t="b">
        <f t="shared" si="15"/>
        <v>0</v>
      </c>
    </row>
    <row r="42" spans="2:25">
      <c r="B42" s="16"/>
      <c r="C42" s="54">
        <f t="shared" si="2"/>
        <v>37</v>
      </c>
      <c r="D42" s="50">
        <f t="shared" si="3"/>
        <v>32020.644371353632</v>
      </c>
      <c r="E42" s="50">
        <f t="shared" si="0"/>
        <v>2561.6515497082905</v>
      </c>
      <c r="F42" s="50">
        <f t="shared" si="4"/>
        <v>2624.911730940496</v>
      </c>
      <c r="G42" s="50">
        <f t="shared" si="10"/>
        <v>5325.7847573492236</v>
      </c>
      <c r="H42" s="50">
        <f t="shared" si="5"/>
        <v>7950.6964882897191</v>
      </c>
      <c r="I42" s="18"/>
      <c r="L42" s="16"/>
      <c r="M42" s="54">
        <f t="shared" si="6"/>
        <v>37</v>
      </c>
      <c r="N42" s="50">
        <f t="shared" si="7"/>
        <v>32020.644371353632</v>
      </c>
      <c r="O42" s="50">
        <f t="shared" si="1"/>
        <v>0</v>
      </c>
      <c r="P42" s="50">
        <f t="shared" si="8"/>
        <v>0</v>
      </c>
      <c r="Q42" s="50">
        <f t="shared" si="11"/>
        <v>0</v>
      </c>
      <c r="R42" s="50">
        <f t="shared" si="9"/>
        <v>0</v>
      </c>
      <c r="S42" s="18"/>
      <c r="V42" s="123" t="b">
        <f t="shared" si="12"/>
        <v>0</v>
      </c>
      <c r="W42" s="55" t="b">
        <f t="shared" si="13"/>
        <v>0</v>
      </c>
      <c r="X42" s="55" t="b">
        <f t="shared" si="14"/>
        <v>0</v>
      </c>
      <c r="Y42" s="106" t="b">
        <f t="shared" si="15"/>
        <v>0</v>
      </c>
    </row>
    <row r="43" spans="2:25">
      <c r="B43" s="16"/>
      <c r="C43" s="54">
        <f t="shared" si="2"/>
        <v>38</v>
      </c>
      <c r="D43" s="50">
        <f t="shared" si="3"/>
        <v>33301.470146207779</v>
      </c>
      <c r="E43" s="50">
        <f t="shared" si="0"/>
        <v>2664.1176116966226</v>
      </c>
      <c r="F43" s="50">
        <f t="shared" si="4"/>
        <v>2729.9082001781167</v>
      </c>
      <c r="G43" s="50">
        <f t="shared" si="10"/>
        <v>8348.2313127042053</v>
      </c>
      <c r="H43" s="50">
        <f t="shared" si="5"/>
        <v>11078.139512882322</v>
      </c>
      <c r="I43" s="18"/>
      <c r="L43" s="16"/>
      <c r="M43" s="54">
        <f t="shared" si="6"/>
        <v>38</v>
      </c>
      <c r="N43" s="50">
        <f t="shared" si="7"/>
        <v>33301.470146207779</v>
      </c>
      <c r="O43" s="50">
        <f t="shared" si="1"/>
        <v>0</v>
      </c>
      <c r="P43" s="50">
        <f t="shared" si="8"/>
        <v>0</v>
      </c>
      <c r="Q43" s="50">
        <f t="shared" si="11"/>
        <v>0</v>
      </c>
      <c r="R43" s="50">
        <f t="shared" si="9"/>
        <v>0</v>
      </c>
      <c r="S43" s="18"/>
      <c r="V43" s="123" t="b">
        <f t="shared" si="12"/>
        <v>0</v>
      </c>
      <c r="W43" s="55" t="b">
        <f t="shared" si="13"/>
        <v>0</v>
      </c>
      <c r="X43" s="55" t="b">
        <f t="shared" si="14"/>
        <v>0</v>
      </c>
      <c r="Y43" s="106" t="b">
        <f t="shared" si="15"/>
        <v>0</v>
      </c>
    </row>
    <row r="44" spans="2:25">
      <c r="B44" s="16"/>
      <c r="C44" s="54">
        <f t="shared" si="2"/>
        <v>39</v>
      </c>
      <c r="D44" s="50">
        <f t="shared" si="3"/>
        <v>34633.528952056091</v>
      </c>
      <c r="E44" s="50">
        <f t="shared" si="0"/>
        <v>2770.6823161644875</v>
      </c>
      <c r="F44" s="50">
        <f t="shared" si="4"/>
        <v>2839.1045281852412</v>
      </c>
      <c r="G44" s="50">
        <f t="shared" si="10"/>
        <v>11632.046488526439</v>
      </c>
      <c r="H44" s="50">
        <f t="shared" si="5"/>
        <v>14471.151016711679</v>
      </c>
      <c r="I44" s="18"/>
      <c r="L44" s="16"/>
      <c r="M44" s="54">
        <f t="shared" si="6"/>
        <v>39</v>
      </c>
      <c r="N44" s="50">
        <f t="shared" si="7"/>
        <v>34633.528952056091</v>
      </c>
      <c r="O44" s="50">
        <f t="shared" si="1"/>
        <v>0</v>
      </c>
      <c r="P44" s="50">
        <f t="shared" si="8"/>
        <v>0</v>
      </c>
      <c r="Q44" s="50">
        <f t="shared" si="11"/>
        <v>0</v>
      </c>
      <c r="R44" s="50">
        <f t="shared" si="9"/>
        <v>0</v>
      </c>
      <c r="S44" s="18"/>
      <c r="V44" s="123" t="b">
        <f t="shared" si="12"/>
        <v>0</v>
      </c>
      <c r="W44" s="55" t="b">
        <f t="shared" si="13"/>
        <v>0</v>
      </c>
      <c r="X44" s="55" t="b">
        <f t="shared" si="14"/>
        <v>0</v>
      </c>
      <c r="Y44" s="106" t="b">
        <f t="shared" si="15"/>
        <v>0</v>
      </c>
    </row>
    <row r="45" spans="2:25">
      <c r="B45" s="16"/>
      <c r="C45" s="54">
        <f t="shared" si="2"/>
        <v>40</v>
      </c>
      <c r="D45" s="50">
        <f t="shared" si="3"/>
        <v>36018.870110138334</v>
      </c>
      <c r="E45" s="50">
        <f t="shared" si="0"/>
        <v>2881.5096088110668</v>
      </c>
      <c r="F45" s="50">
        <f t="shared" si="4"/>
        <v>2952.6687093126507</v>
      </c>
      <c r="G45" s="50">
        <f t="shared" si="10"/>
        <v>15194.708567547264</v>
      </c>
      <c r="H45" s="50">
        <f t="shared" si="5"/>
        <v>18147.377276859916</v>
      </c>
      <c r="I45" s="18"/>
      <c r="L45" s="16"/>
      <c r="M45" s="54">
        <f t="shared" si="6"/>
        <v>40</v>
      </c>
      <c r="N45" s="50">
        <f t="shared" si="7"/>
        <v>36018.870110138334</v>
      </c>
      <c r="O45" s="50">
        <f t="shared" si="1"/>
        <v>0</v>
      </c>
      <c r="P45" s="50">
        <f t="shared" si="8"/>
        <v>0</v>
      </c>
      <c r="Q45" s="50">
        <f t="shared" si="11"/>
        <v>0</v>
      </c>
      <c r="R45" s="50">
        <f t="shared" si="9"/>
        <v>0</v>
      </c>
      <c r="S45" s="18"/>
      <c r="V45" s="123" t="b">
        <f t="shared" si="12"/>
        <v>0</v>
      </c>
      <c r="W45" s="55" t="b">
        <f t="shared" si="13"/>
        <v>0</v>
      </c>
      <c r="X45" s="55" t="b">
        <f t="shared" si="14"/>
        <v>0</v>
      </c>
      <c r="Y45" s="106" t="b">
        <f t="shared" si="15"/>
        <v>0</v>
      </c>
    </row>
    <row r="46" spans="2:25">
      <c r="B46" s="16"/>
      <c r="C46" s="54">
        <f t="shared" si="2"/>
        <v>41</v>
      </c>
      <c r="D46" s="50">
        <f t="shared" si="3"/>
        <v>37459.624914543871</v>
      </c>
      <c r="E46" s="50">
        <f t="shared" si="0"/>
        <v>2996.7699931635098</v>
      </c>
      <c r="F46" s="50">
        <f t="shared" si="4"/>
        <v>3070.7754576851571</v>
      </c>
      <c r="G46" s="50">
        <f t="shared" si="10"/>
        <v>19054.746140702911</v>
      </c>
      <c r="H46" s="50">
        <f t="shared" si="5"/>
        <v>22125.52159838807</v>
      </c>
      <c r="I46" s="18"/>
      <c r="L46" s="16"/>
      <c r="M46" s="54">
        <f t="shared" si="6"/>
        <v>41</v>
      </c>
      <c r="N46" s="50">
        <f t="shared" si="7"/>
        <v>37459.624914543871</v>
      </c>
      <c r="O46" s="50">
        <f t="shared" si="1"/>
        <v>0</v>
      </c>
      <c r="P46" s="50">
        <f t="shared" si="8"/>
        <v>0</v>
      </c>
      <c r="Q46" s="50">
        <f t="shared" si="11"/>
        <v>0</v>
      </c>
      <c r="R46" s="50">
        <f t="shared" si="9"/>
        <v>0</v>
      </c>
      <c r="S46" s="18"/>
      <c r="V46" s="123" t="b">
        <f t="shared" si="12"/>
        <v>0</v>
      </c>
      <c r="W46" s="55" t="b">
        <f t="shared" si="13"/>
        <v>0</v>
      </c>
      <c r="X46" s="55" t="b">
        <f t="shared" si="14"/>
        <v>0</v>
      </c>
      <c r="Y46" s="106" t="b">
        <f t="shared" si="15"/>
        <v>0</v>
      </c>
    </row>
    <row r="47" spans="2:25">
      <c r="B47" s="16"/>
      <c r="C47" s="54">
        <f t="shared" si="2"/>
        <v>42</v>
      </c>
      <c r="D47" s="50">
        <f t="shared" si="3"/>
        <v>38958.009911125628</v>
      </c>
      <c r="E47" s="50">
        <f t="shared" si="0"/>
        <v>3116.6407928900503</v>
      </c>
      <c r="F47" s="50">
        <f t="shared" si="4"/>
        <v>3193.6064759925634</v>
      </c>
      <c r="G47" s="50">
        <f t="shared" si="10"/>
        <v>23231.797678307474</v>
      </c>
      <c r="H47" s="50">
        <f t="shared" si="5"/>
        <v>26425.404154300038</v>
      </c>
      <c r="I47" s="18"/>
      <c r="L47" s="16"/>
      <c r="M47" s="54">
        <f t="shared" si="6"/>
        <v>42</v>
      </c>
      <c r="N47" s="50">
        <f t="shared" si="7"/>
        <v>38958.009911125628</v>
      </c>
      <c r="O47" s="50">
        <f t="shared" si="1"/>
        <v>0</v>
      </c>
      <c r="P47" s="50">
        <f t="shared" si="8"/>
        <v>0</v>
      </c>
      <c r="Q47" s="50">
        <f t="shared" si="11"/>
        <v>0</v>
      </c>
      <c r="R47" s="50">
        <f t="shared" si="9"/>
        <v>0</v>
      </c>
      <c r="S47" s="18"/>
      <c r="V47" s="123" t="b">
        <f t="shared" si="12"/>
        <v>0</v>
      </c>
      <c r="W47" s="55" t="b">
        <f t="shared" si="13"/>
        <v>0</v>
      </c>
      <c r="X47" s="55" t="b">
        <f t="shared" si="14"/>
        <v>0</v>
      </c>
      <c r="Y47" s="106" t="b">
        <f t="shared" si="15"/>
        <v>0</v>
      </c>
    </row>
    <row r="48" spans="2:25">
      <c r="B48" s="16"/>
      <c r="C48" s="54">
        <f t="shared" si="2"/>
        <v>43</v>
      </c>
      <c r="D48" s="50">
        <f t="shared" si="3"/>
        <v>40516.330307570657</v>
      </c>
      <c r="E48" s="50">
        <f t="shared" si="0"/>
        <v>3241.3064246056529</v>
      </c>
      <c r="F48" s="50">
        <f t="shared" si="4"/>
        <v>3321.3507350322666</v>
      </c>
      <c r="G48" s="50">
        <f t="shared" si="10"/>
        <v>27746.674362015041</v>
      </c>
      <c r="H48" s="50">
        <f t="shared" si="5"/>
        <v>31068.025097047306</v>
      </c>
      <c r="I48" s="18"/>
      <c r="L48" s="16"/>
      <c r="M48" s="54">
        <f t="shared" si="6"/>
        <v>43</v>
      </c>
      <c r="N48" s="50">
        <f t="shared" si="7"/>
        <v>40516.330307570657</v>
      </c>
      <c r="O48" s="50">
        <f t="shared" si="1"/>
        <v>0</v>
      </c>
      <c r="P48" s="50">
        <f t="shared" si="8"/>
        <v>0</v>
      </c>
      <c r="Q48" s="50">
        <f t="shared" si="11"/>
        <v>0</v>
      </c>
      <c r="R48" s="50">
        <f t="shared" si="9"/>
        <v>0</v>
      </c>
      <c r="S48" s="18"/>
      <c r="V48" s="123" t="b">
        <f t="shared" si="12"/>
        <v>0</v>
      </c>
      <c r="W48" s="55" t="b">
        <f t="shared" si="13"/>
        <v>0</v>
      </c>
      <c r="X48" s="55" t="b">
        <f t="shared" si="14"/>
        <v>0</v>
      </c>
      <c r="Y48" s="106" t="b">
        <f t="shared" si="15"/>
        <v>0</v>
      </c>
    </row>
    <row r="49" spans="2:25">
      <c r="B49" s="16"/>
      <c r="C49" s="54">
        <f t="shared" si="2"/>
        <v>44</v>
      </c>
      <c r="D49" s="50">
        <f t="shared" si="3"/>
        <v>42136.983519873487</v>
      </c>
      <c r="E49" s="50">
        <f t="shared" si="0"/>
        <v>3370.9586815898792</v>
      </c>
      <c r="F49" s="50">
        <f t="shared" si="4"/>
        <v>3454.2047644335576</v>
      </c>
      <c r="G49" s="50">
        <f t="shared" si="10"/>
        <v>32621.426351899674</v>
      </c>
      <c r="H49" s="50">
        <f t="shared" si="5"/>
        <v>36075.631116333228</v>
      </c>
      <c r="I49" s="18"/>
      <c r="L49" s="16"/>
      <c r="M49" s="54">
        <f t="shared" si="6"/>
        <v>44</v>
      </c>
      <c r="N49" s="50">
        <f t="shared" si="7"/>
        <v>42136.983519873487</v>
      </c>
      <c r="O49" s="50">
        <f t="shared" si="1"/>
        <v>0</v>
      </c>
      <c r="P49" s="50">
        <f t="shared" si="8"/>
        <v>0</v>
      </c>
      <c r="Q49" s="50">
        <f t="shared" si="11"/>
        <v>0</v>
      </c>
      <c r="R49" s="50">
        <f t="shared" si="9"/>
        <v>0</v>
      </c>
      <c r="S49" s="18"/>
      <c r="V49" s="123" t="b">
        <f t="shared" si="12"/>
        <v>0</v>
      </c>
      <c r="W49" s="55" t="b">
        <f t="shared" si="13"/>
        <v>0</v>
      </c>
      <c r="X49" s="55" t="b">
        <f t="shared" si="14"/>
        <v>0</v>
      </c>
      <c r="Y49" s="106" t="b">
        <f t="shared" si="15"/>
        <v>0</v>
      </c>
    </row>
    <row r="50" spans="2:25">
      <c r="B50" s="16"/>
      <c r="C50" s="54">
        <f t="shared" si="2"/>
        <v>45</v>
      </c>
      <c r="D50" s="50">
        <f t="shared" si="3"/>
        <v>43822.462860668427</v>
      </c>
      <c r="E50" s="50">
        <f t="shared" si="0"/>
        <v>3505.7970288534743</v>
      </c>
      <c r="F50" s="50">
        <f t="shared" si="4"/>
        <v>3592.3729550108997</v>
      </c>
      <c r="G50" s="50">
        <f t="shared" si="10"/>
        <v>37879.412672149891</v>
      </c>
      <c r="H50" s="50">
        <f t="shared" si="5"/>
        <v>41471.785627160789</v>
      </c>
      <c r="I50" s="18"/>
      <c r="L50" s="16"/>
      <c r="M50" s="54">
        <f t="shared" si="6"/>
        <v>45</v>
      </c>
      <c r="N50" s="50">
        <f t="shared" si="7"/>
        <v>43822.462860668427</v>
      </c>
      <c r="O50" s="50">
        <f t="shared" si="1"/>
        <v>3505.7970288534743</v>
      </c>
      <c r="P50" s="50">
        <f t="shared" si="8"/>
        <v>3592.3729550108997</v>
      </c>
      <c r="Q50" s="50">
        <f t="shared" si="11"/>
        <v>0</v>
      </c>
      <c r="R50" s="50">
        <f t="shared" si="9"/>
        <v>3592.3729550108997</v>
      </c>
      <c r="S50" s="18"/>
      <c r="V50" s="123" t="b">
        <f t="shared" si="12"/>
        <v>0</v>
      </c>
      <c r="W50" s="55" t="b">
        <f t="shared" si="13"/>
        <v>0</v>
      </c>
      <c r="X50" s="55" t="b">
        <f t="shared" si="14"/>
        <v>0</v>
      </c>
      <c r="Y50" s="106" t="b">
        <f t="shared" si="15"/>
        <v>0</v>
      </c>
    </row>
    <row r="51" spans="2:25">
      <c r="B51" s="16"/>
      <c r="C51" s="54">
        <f t="shared" si="2"/>
        <v>46</v>
      </c>
      <c r="D51" s="50">
        <f t="shared" si="3"/>
        <v>45575.361375095163</v>
      </c>
      <c r="E51" s="50">
        <f t="shared" si="0"/>
        <v>3646.0289100076129</v>
      </c>
      <c r="F51" s="50">
        <f t="shared" si="4"/>
        <v>3736.0678732113352</v>
      </c>
      <c r="G51" s="50">
        <f t="shared" si="10"/>
        <v>43545.374908518832</v>
      </c>
      <c r="H51" s="50">
        <f t="shared" si="5"/>
        <v>47281.442781730169</v>
      </c>
      <c r="I51" s="18"/>
      <c r="L51" s="16"/>
      <c r="M51" s="54">
        <f t="shared" si="6"/>
        <v>46</v>
      </c>
      <c r="N51" s="50">
        <f t="shared" si="7"/>
        <v>45575.361375095163</v>
      </c>
      <c r="O51" s="50">
        <f t="shared" si="1"/>
        <v>3646.0289100076129</v>
      </c>
      <c r="P51" s="50">
        <f t="shared" si="8"/>
        <v>3736.0678732113352</v>
      </c>
      <c r="Q51" s="50">
        <f t="shared" si="11"/>
        <v>3771.9916027614449</v>
      </c>
      <c r="R51" s="50">
        <f t="shared" si="9"/>
        <v>7508.0594759727801</v>
      </c>
      <c r="S51" s="18"/>
      <c r="V51" s="123" t="b">
        <f t="shared" si="12"/>
        <v>0</v>
      </c>
      <c r="W51" s="55" t="b">
        <f t="shared" si="13"/>
        <v>0</v>
      </c>
      <c r="X51" s="55" t="b">
        <f t="shared" si="14"/>
        <v>0</v>
      </c>
      <c r="Y51" s="106" t="b">
        <f t="shared" si="15"/>
        <v>0</v>
      </c>
    </row>
    <row r="52" spans="2:25">
      <c r="B52" s="16"/>
      <c r="C52" s="54">
        <f t="shared" si="2"/>
        <v>47</v>
      </c>
      <c r="D52" s="50">
        <f t="shared" si="3"/>
        <v>47398.375830098972</v>
      </c>
      <c r="E52" s="50">
        <f t="shared" si="0"/>
        <v>3791.8700664079179</v>
      </c>
      <c r="F52" s="50">
        <f t="shared" si="4"/>
        <v>3885.510588139789</v>
      </c>
      <c r="G52" s="50">
        <f t="shared" si="10"/>
        <v>49645.514920816677</v>
      </c>
      <c r="H52" s="50">
        <f t="shared" si="5"/>
        <v>53531.025508956467</v>
      </c>
      <c r="I52" s="18"/>
      <c r="L52" s="16"/>
      <c r="M52" s="54">
        <f t="shared" si="6"/>
        <v>47</v>
      </c>
      <c r="N52" s="50">
        <f t="shared" si="7"/>
        <v>47398.375830098972</v>
      </c>
      <c r="O52" s="50">
        <f t="shared" si="1"/>
        <v>3791.8700664079179</v>
      </c>
      <c r="P52" s="50">
        <f t="shared" si="8"/>
        <v>3885.510588139789</v>
      </c>
      <c r="Q52" s="50">
        <f t="shared" si="11"/>
        <v>7883.4624497714194</v>
      </c>
      <c r="R52" s="50">
        <f t="shared" si="9"/>
        <v>11768.973037911208</v>
      </c>
      <c r="S52" s="18"/>
      <c r="V52" s="123" t="b">
        <f t="shared" si="12"/>
        <v>0</v>
      </c>
      <c r="W52" s="55" t="b">
        <f t="shared" si="13"/>
        <v>0</v>
      </c>
      <c r="X52" s="55" t="b">
        <f t="shared" si="14"/>
        <v>0</v>
      </c>
      <c r="Y52" s="106" t="b">
        <f t="shared" si="15"/>
        <v>0</v>
      </c>
    </row>
    <row r="53" spans="2:25">
      <c r="B53" s="16"/>
      <c r="C53" s="54">
        <f t="shared" si="2"/>
        <v>48</v>
      </c>
      <c r="D53" s="50">
        <f t="shared" si="3"/>
        <v>49294.310863302933</v>
      </c>
      <c r="E53" s="50">
        <f t="shared" si="0"/>
        <v>3943.5448690642347</v>
      </c>
      <c r="F53" s="50">
        <f t="shared" si="4"/>
        <v>4040.931011665381</v>
      </c>
      <c r="G53" s="50">
        <f t="shared" si="10"/>
        <v>56207.576784404293</v>
      </c>
      <c r="H53" s="50">
        <f t="shared" si="5"/>
        <v>60248.507796069673</v>
      </c>
      <c r="I53" s="18"/>
      <c r="L53" s="16"/>
      <c r="M53" s="54">
        <f t="shared" si="6"/>
        <v>48</v>
      </c>
      <c r="N53" s="50">
        <f t="shared" si="7"/>
        <v>49294.310863302933</v>
      </c>
      <c r="O53" s="50">
        <f t="shared" si="1"/>
        <v>3943.5448690642347</v>
      </c>
      <c r="P53" s="50">
        <f t="shared" si="8"/>
        <v>4040.931011665381</v>
      </c>
      <c r="Q53" s="50">
        <f t="shared" si="11"/>
        <v>12357.421689806768</v>
      </c>
      <c r="R53" s="50">
        <f t="shared" si="9"/>
        <v>16398.352701472148</v>
      </c>
      <c r="S53" s="18"/>
      <c r="V53" s="123" t="b">
        <f t="shared" si="12"/>
        <v>0</v>
      </c>
      <c r="W53" s="55" t="b">
        <f t="shared" si="13"/>
        <v>0</v>
      </c>
      <c r="X53" s="55" t="b">
        <f t="shared" si="14"/>
        <v>0</v>
      </c>
      <c r="Y53" s="106" t="b">
        <f t="shared" si="15"/>
        <v>0</v>
      </c>
    </row>
    <row r="54" spans="2:25">
      <c r="B54" s="16"/>
      <c r="C54" s="54">
        <f t="shared" si="2"/>
        <v>49</v>
      </c>
      <c r="D54" s="50">
        <f t="shared" si="3"/>
        <v>51266.083297835052</v>
      </c>
      <c r="E54" s="50">
        <f t="shared" si="0"/>
        <v>4101.2866638268042</v>
      </c>
      <c r="F54" s="50">
        <f t="shared" si="4"/>
        <v>4202.5682521319959</v>
      </c>
      <c r="G54" s="50">
        <f t="shared" si="10"/>
        <v>63260.93318587316</v>
      </c>
      <c r="H54" s="50">
        <f t="shared" si="5"/>
        <v>67463.501438005158</v>
      </c>
      <c r="I54" s="18"/>
      <c r="L54" s="16"/>
      <c r="M54" s="54">
        <f t="shared" si="6"/>
        <v>49</v>
      </c>
      <c r="N54" s="50">
        <f t="shared" si="7"/>
        <v>51266.083297835052</v>
      </c>
      <c r="O54" s="50">
        <f t="shared" si="1"/>
        <v>4101.2866638268042</v>
      </c>
      <c r="P54" s="50">
        <f t="shared" si="8"/>
        <v>4202.5682521319959</v>
      </c>
      <c r="Q54" s="50">
        <f t="shared" si="11"/>
        <v>17218.270336545756</v>
      </c>
      <c r="R54" s="50">
        <f t="shared" si="9"/>
        <v>21420.838588677754</v>
      </c>
      <c r="S54" s="18"/>
      <c r="V54" s="123" t="b">
        <f t="shared" si="12"/>
        <v>0</v>
      </c>
      <c r="W54" s="55" t="b">
        <f t="shared" si="13"/>
        <v>0</v>
      </c>
      <c r="X54" s="55" t="b">
        <f t="shared" si="14"/>
        <v>0</v>
      </c>
      <c r="Y54" s="106" t="b">
        <f t="shared" si="15"/>
        <v>0</v>
      </c>
    </row>
    <row r="55" spans="2:25">
      <c r="B55" s="16"/>
      <c r="C55" s="54">
        <f t="shared" si="2"/>
        <v>50</v>
      </c>
      <c r="D55" s="50">
        <f t="shared" si="3"/>
        <v>53316.726629748453</v>
      </c>
      <c r="E55" s="50">
        <f t="shared" si="0"/>
        <v>4265.338130379876</v>
      </c>
      <c r="F55" s="50">
        <f t="shared" si="4"/>
        <v>4370.6709822172752</v>
      </c>
      <c r="G55" s="50">
        <f t="shared" si="10"/>
        <v>70836.676509905417</v>
      </c>
      <c r="H55" s="50">
        <f t="shared" si="5"/>
        <v>75207.347492122688</v>
      </c>
      <c r="I55" s="18"/>
      <c r="L55" s="16"/>
      <c r="M55" s="54">
        <f t="shared" si="6"/>
        <v>50</v>
      </c>
      <c r="N55" s="50">
        <f t="shared" si="7"/>
        <v>53316.726629748453</v>
      </c>
      <c r="O55" s="50">
        <f t="shared" si="1"/>
        <v>4265.338130379876</v>
      </c>
      <c r="P55" s="50">
        <f t="shared" si="8"/>
        <v>4370.6709822172752</v>
      </c>
      <c r="Q55" s="50">
        <f t="shared" si="11"/>
        <v>22491.880518111644</v>
      </c>
      <c r="R55" s="50">
        <f t="shared" si="9"/>
        <v>26862.551500328918</v>
      </c>
      <c r="S55" s="18"/>
      <c r="V55" s="123" t="b">
        <f t="shared" si="12"/>
        <v>0</v>
      </c>
      <c r="W55" s="55" t="b">
        <f t="shared" si="13"/>
        <v>0</v>
      </c>
      <c r="X55" s="55" t="b">
        <f t="shared" si="14"/>
        <v>0</v>
      </c>
      <c r="Y55" s="106" t="b">
        <f t="shared" si="15"/>
        <v>0</v>
      </c>
    </row>
    <row r="56" spans="2:25">
      <c r="B56" s="16"/>
      <c r="C56" s="54">
        <f t="shared" si="2"/>
        <v>51</v>
      </c>
      <c r="D56" s="50">
        <f t="shared" si="3"/>
        <v>55449.395694938394</v>
      </c>
      <c r="E56" s="50">
        <f t="shared" si="0"/>
        <v>4435.9516555950713</v>
      </c>
      <c r="F56" s="50">
        <f t="shared" si="4"/>
        <v>4545.4978215059673</v>
      </c>
      <c r="G56" s="50">
        <f t="shared" si="10"/>
        <v>78967.714866728827</v>
      </c>
      <c r="H56" s="50">
        <f t="shared" si="5"/>
        <v>83513.212688234795</v>
      </c>
      <c r="I56" s="18"/>
      <c r="L56" s="16"/>
      <c r="M56" s="54">
        <f t="shared" si="6"/>
        <v>51</v>
      </c>
      <c r="N56" s="50">
        <f t="shared" si="7"/>
        <v>55449.395694938394</v>
      </c>
      <c r="O56" s="50">
        <f t="shared" si="1"/>
        <v>4435.9516555950713</v>
      </c>
      <c r="P56" s="50">
        <f t="shared" si="8"/>
        <v>4545.4978215059673</v>
      </c>
      <c r="Q56" s="50">
        <f t="shared" si="11"/>
        <v>28205.679075345364</v>
      </c>
      <c r="R56" s="50">
        <f t="shared" si="9"/>
        <v>32751.176896851332</v>
      </c>
      <c r="S56" s="18"/>
      <c r="V56" s="123" t="b">
        <f t="shared" si="12"/>
        <v>0</v>
      </c>
      <c r="W56" s="55" t="b">
        <f t="shared" si="13"/>
        <v>0</v>
      </c>
      <c r="X56" s="55" t="b">
        <f t="shared" si="14"/>
        <v>0</v>
      </c>
      <c r="Y56" s="106" t="b">
        <f t="shared" si="15"/>
        <v>0</v>
      </c>
    </row>
    <row r="57" spans="2:25">
      <c r="B57" s="16"/>
      <c r="C57" s="54">
        <f t="shared" si="2"/>
        <v>52</v>
      </c>
      <c r="D57" s="50">
        <f t="shared" si="3"/>
        <v>57667.371522735928</v>
      </c>
      <c r="E57" s="50">
        <f t="shared" si="0"/>
        <v>4613.389721818874</v>
      </c>
      <c r="F57" s="50">
        <f t="shared" si="4"/>
        <v>4727.3177343662055</v>
      </c>
      <c r="G57" s="50">
        <f t="shared" si="10"/>
        <v>87688.873322646541</v>
      </c>
      <c r="H57" s="50">
        <f t="shared" si="5"/>
        <v>92416.191057012751</v>
      </c>
      <c r="I57" s="18"/>
      <c r="L57" s="16"/>
      <c r="M57" s="54">
        <f t="shared" si="6"/>
        <v>52</v>
      </c>
      <c r="N57" s="50">
        <f t="shared" si="7"/>
        <v>57667.371522735928</v>
      </c>
      <c r="O57" s="50">
        <f t="shared" si="1"/>
        <v>4613.389721818874</v>
      </c>
      <c r="P57" s="50">
        <f t="shared" si="8"/>
        <v>4727.3177343662055</v>
      </c>
      <c r="Q57" s="50">
        <f t="shared" si="11"/>
        <v>34388.735741693898</v>
      </c>
      <c r="R57" s="50">
        <f t="shared" si="9"/>
        <v>39116.0534760601</v>
      </c>
      <c r="S57" s="18"/>
      <c r="V57" s="123" t="b">
        <f t="shared" si="12"/>
        <v>0</v>
      </c>
      <c r="W57" s="55" t="b">
        <f t="shared" si="13"/>
        <v>0</v>
      </c>
      <c r="X57" s="55" t="b">
        <f t="shared" si="14"/>
        <v>0</v>
      </c>
      <c r="Y57" s="106" t="b">
        <f t="shared" si="15"/>
        <v>0</v>
      </c>
    </row>
    <row r="58" spans="2:25">
      <c r="B58" s="16"/>
      <c r="C58" s="54">
        <f t="shared" si="2"/>
        <v>53</v>
      </c>
      <c r="D58" s="50">
        <f t="shared" si="3"/>
        <v>59974.066383645368</v>
      </c>
      <c r="E58" s="50">
        <f t="shared" si="0"/>
        <v>4797.9253106916294</v>
      </c>
      <c r="F58" s="50">
        <f t="shared" si="4"/>
        <v>4916.4104437408541</v>
      </c>
      <c r="G58" s="50">
        <f t="shared" si="10"/>
        <v>97037.000609863389</v>
      </c>
      <c r="H58" s="50">
        <f t="shared" si="5"/>
        <v>101953.41105360424</v>
      </c>
      <c r="I58" s="18"/>
      <c r="L58" s="16"/>
      <c r="M58" s="54">
        <f t="shared" si="6"/>
        <v>53</v>
      </c>
      <c r="N58" s="50">
        <f t="shared" si="7"/>
        <v>59974.066383645368</v>
      </c>
      <c r="O58" s="50">
        <f t="shared" si="1"/>
        <v>4797.9253106916294</v>
      </c>
      <c r="P58" s="50">
        <f t="shared" si="8"/>
        <v>4916.4104437408541</v>
      </c>
      <c r="Q58" s="50">
        <f t="shared" si="11"/>
        <v>41071.85614986311</v>
      </c>
      <c r="R58" s="50">
        <f t="shared" si="9"/>
        <v>45988.266593603963</v>
      </c>
      <c r="S58" s="18"/>
      <c r="V58" s="123" t="b">
        <f t="shared" si="12"/>
        <v>0</v>
      </c>
      <c r="W58" s="55" t="b">
        <f t="shared" si="13"/>
        <v>0</v>
      </c>
      <c r="X58" s="55" t="b">
        <f t="shared" si="14"/>
        <v>0</v>
      </c>
      <c r="Y58" s="106" t="b">
        <f t="shared" si="15"/>
        <v>0</v>
      </c>
    </row>
    <row r="59" spans="2:25">
      <c r="B59" s="16"/>
      <c r="C59" s="54">
        <f t="shared" si="2"/>
        <v>54</v>
      </c>
      <c r="D59" s="50">
        <f t="shared" si="3"/>
        <v>62373.029038991182</v>
      </c>
      <c r="E59" s="50">
        <f t="shared" si="0"/>
        <v>4989.8423231192946</v>
      </c>
      <c r="F59" s="50">
        <f t="shared" si="4"/>
        <v>5113.066861490488</v>
      </c>
      <c r="G59" s="50">
        <f t="shared" si="10"/>
        <v>107051.08160628445</v>
      </c>
      <c r="H59" s="50">
        <f t="shared" si="5"/>
        <v>112164.14846777494</v>
      </c>
      <c r="I59" s="18"/>
      <c r="L59" s="16"/>
      <c r="M59" s="54">
        <f t="shared" si="6"/>
        <v>54</v>
      </c>
      <c r="N59" s="50">
        <f t="shared" si="7"/>
        <v>62373.029038991182</v>
      </c>
      <c r="O59" s="50">
        <f t="shared" si="1"/>
        <v>4989.8423231192946</v>
      </c>
      <c r="P59" s="50">
        <f t="shared" si="8"/>
        <v>5113.066861490488</v>
      </c>
      <c r="Q59" s="50">
        <f t="shared" si="11"/>
        <v>48287.679923284166</v>
      </c>
      <c r="R59" s="50">
        <f t="shared" si="9"/>
        <v>53400.746784774652</v>
      </c>
      <c r="S59" s="18"/>
      <c r="V59" s="123" t="b">
        <f t="shared" si="12"/>
        <v>0</v>
      </c>
      <c r="W59" s="55" t="b">
        <f t="shared" si="13"/>
        <v>0</v>
      </c>
      <c r="X59" s="55" t="b">
        <f t="shared" si="14"/>
        <v>0</v>
      </c>
      <c r="Y59" s="106" t="b">
        <f t="shared" si="15"/>
        <v>0</v>
      </c>
    </row>
    <row r="60" spans="2:25">
      <c r="B60" s="16"/>
      <c r="C60" s="54">
        <f t="shared" si="2"/>
        <v>55</v>
      </c>
      <c r="D60" s="50">
        <f t="shared" si="3"/>
        <v>64867.950200550833</v>
      </c>
      <c r="E60" s="50">
        <f t="shared" si="0"/>
        <v>5189.4360160440665</v>
      </c>
      <c r="F60" s="50">
        <f t="shared" si="4"/>
        <v>5317.5895359501083</v>
      </c>
      <c r="G60" s="50">
        <f t="shared" si="10"/>
        <v>117772.35589116369</v>
      </c>
      <c r="H60" s="50">
        <f t="shared" si="5"/>
        <v>123089.94542711379</v>
      </c>
      <c r="I60" s="18"/>
      <c r="L60" s="16"/>
      <c r="M60" s="54">
        <f t="shared" si="6"/>
        <v>55</v>
      </c>
      <c r="N60" s="50">
        <f t="shared" si="7"/>
        <v>64867.950200550833</v>
      </c>
      <c r="O60" s="50">
        <f t="shared" si="1"/>
        <v>5189.4360160440665</v>
      </c>
      <c r="P60" s="50">
        <f t="shared" si="8"/>
        <v>5317.5895359501083</v>
      </c>
      <c r="Q60" s="50">
        <f t="shared" si="11"/>
        <v>56070.784124013386</v>
      </c>
      <c r="R60" s="50">
        <f t="shared" si="9"/>
        <v>61388.373659963494</v>
      </c>
      <c r="S60" s="18"/>
      <c r="V60" s="123" t="b">
        <f t="shared" si="12"/>
        <v>0</v>
      </c>
      <c r="W60" s="55" t="b">
        <f t="shared" si="13"/>
        <v>0</v>
      </c>
      <c r="X60" s="55" t="b">
        <f t="shared" si="14"/>
        <v>0</v>
      </c>
      <c r="Y60" s="106" t="b">
        <f t="shared" si="15"/>
        <v>0</v>
      </c>
    </row>
    <row r="61" spans="2:25">
      <c r="B61" s="16"/>
      <c r="C61" s="54">
        <f t="shared" si="2"/>
        <v>56</v>
      </c>
      <c r="D61" s="50">
        <f t="shared" si="3"/>
        <v>67462.668208572868</v>
      </c>
      <c r="E61" s="50">
        <f t="shared" si="0"/>
        <v>5397.0134566858296</v>
      </c>
      <c r="F61" s="50">
        <f t="shared" si="4"/>
        <v>5530.2931173881125</v>
      </c>
      <c r="G61" s="50">
        <f t="shared" si="10"/>
        <v>129244.44269846949</v>
      </c>
      <c r="H61" s="50">
        <f t="shared" si="5"/>
        <v>134774.7358158576</v>
      </c>
      <c r="I61" s="18"/>
      <c r="L61" s="16"/>
      <c r="M61" s="54">
        <f t="shared" si="6"/>
        <v>56</v>
      </c>
      <c r="N61" s="50">
        <f t="shared" si="7"/>
        <v>67462.668208572868</v>
      </c>
      <c r="O61" s="50">
        <f t="shared" si="1"/>
        <v>5397.0134566858296</v>
      </c>
      <c r="P61" s="50">
        <f t="shared" si="8"/>
        <v>5530.2931173881125</v>
      </c>
      <c r="Q61" s="50">
        <f t="shared" si="11"/>
        <v>64457.792342961671</v>
      </c>
      <c r="R61" s="50">
        <f t="shared" si="9"/>
        <v>69988.085460349786</v>
      </c>
      <c r="S61" s="18"/>
      <c r="V61" s="123" t="b">
        <f t="shared" si="12"/>
        <v>0</v>
      </c>
      <c r="W61" s="55" t="b">
        <f t="shared" si="13"/>
        <v>0</v>
      </c>
      <c r="X61" s="55" t="b">
        <f t="shared" si="14"/>
        <v>0</v>
      </c>
      <c r="Y61" s="106" t="b">
        <f t="shared" si="15"/>
        <v>0</v>
      </c>
    </row>
    <row r="62" spans="2:25">
      <c r="B62" s="16"/>
      <c r="C62" s="54">
        <f t="shared" si="2"/>
        <v>57</v>
      </c>
      <c r="D62" s="50">
        <f t="shared" si="3"/>
        <v>70161.174936915791</v>
      </c>
      <c r="E62" s="50">
        <f t="shared" si="0"/>
        <v>5612.8939949532632</v>
      </c>
      <c r="F62" s="50">
        <f t="shared" si="4"/>
        <v>5751.5048420836374</v>
      </c>
      <c r="G62" s="50">
        <f t="shared" si="10"/>
        <v>141513.4726066505</v>
      </c>
      <c r="H62" s="50">
        <f t="shared" si="5"/>
        <v>147264.97744873413</v>
      </c>
      <c r="I62" s="18"/>
      <c r="L62" s="16"/>
      <c r="M62" s="54">
        <f t="shared" si="6"/>
        <v>57</v>
      </c>
      <c r="N62" s="50">
        <f t="shared" si="7"/>
        <v>70161.174936915791</v>
      </c>
      <c r="O62" s="50">
        <f t="shared" si="1"/>
        <v>5612.8939949532632</v>
      </c>
      <c r="P62" s="50">
        <f t="shared" si="8"/>
        <v>5751.5048420836374</v>
      </c>
      <c r="Q62" s="50">
        <f t="shared" si="11"/>
        <v>73487.489733367285</v>
      </c>
      <c r="R62" s="50">
        <f t="shared" si="9"/>
        <v>79238.994575450924</v>
      </c>
      <c r="S62" s="18"/>
      <c r="V62" s="123" t="b">
        <f t="shared" si="12"/>
        <v>0</v>
      </c>
      <c r="W62" s="55" t="b">
        <f t="shared" si="13"/>
        <v>0</v>
      </c>
      <c r="X62" s="55" t="b">
        <f t="shared" si="14"/>
        <v>0</v>
      </c>
      <c r="Y62" s="106" t="b">
        <f t="shared" si="15"/>
        <v>0</v>
      </c>
    </row>
    <row r="63" spans="2:25">
      <c r="B63" s="16"/>
      <c r="C63" s="54">
        <f t="shared" si="2"/>
        <v>58</v>
      </c>
      <c r="D63" s="50">
        <f t="shared" si="3"/>
        <v>72967.621934392431</v>
      </c>
      <c r="E63" s="50">
        <f t="shared" si="0"/>
        <v>5837.4097547513948</v>
      </c>
      <c r="F63" s="50">
        <f t="shared" si="4"/>
        <v>5981.5650357669838</v>
      </c>
      <c r="G63" s="50">
        <f t="shared" si="10"/>
        <v>154628.22632117083</v>
      </c>
      <c r="H63" s="50">
        <f t="shared" si="5"/>
        <v>160609.79135693781</v>
      </c>
      <c r="I63" s="18"/>
      <c r="L63" s="16"/>
      <c r="M63" s="54">
        <f t="shared" si="6"/>
        <v>58</v>
      </c>
      <c r="N63" s="50">
        <f t="shared" si="7"/>
        <v>72967.621934392431</v>
      </c>
      <c r="O63" s="50">
        <f t="shared" si="1"/>
        <v>5837.4097547513948</v>
      </c>
      <c r="P63" s="50">
        <f t="shared" si="8"/>
        <v>5981.5650357669838</v>
      </c>
      <c r="Q63" s="50">
        <f t="shared" si="11"/>
        <v>83200.944304223478</v>
      </c>
      <c r="R63" s="50">
        <f t="shared" si="9"/>
        <v>89182.509339990458</v>
      </c>
      <c r="S63" s="18"/>
      <c r="V63" s="123" t="b">
        <f t="shared" si="12"/>
        <v>0</v>
      </c>
      <c r="W63" s="55" t="b">
        <f t="shared" si="13"/>
        <v>0</v>
      </c>
      <c r="X63" s="55" t="b">
        <f t="shared" si="14"/>
        <v>0</v>
      </c>
      <c r="Y63" s="106" t="b">
        <f t="shared" si="15"/>
        <v>0</v>
      </c>
    </row>
    <row r="64" spans="2:25">
      <c r="B64" s="16"/>
      <c r="C64" s="54">
        <f t="shared" si="2"/>
        <v>59</v>
      </c>
      <c r="D64" s="50">
        <f t="shared" si="3"/>
        <v>75886.326811768129</v>
      </c>
      <c r="E64" s="50">
        <f t="shared" si="0"/>
        <v>6070.9061449414503</v>
      </c>
      <c r="F64" s="50">
        <f t="shared" si="4"/>
        <v>6220.8276371976635</v>
      </c>
      <c r="G64" s="50">
        <f t="shared" si="10"/>
        <v>168640.28092478472</v>
      </c>
      <c r="H64" s="50">
        <f t="shared" si="5"/>
        <v>174861.10856198237</v>
      </c>
      <c r="I64" s="18"/>
      <c r="L64" s="16"/>
      <c r="M64" s="54">
        <f t="shared" si="6"/>
        <v>59</v>
      </c>
      <c r="N64" s="50">
        <f t="shared" si="7"/>
        <v>75886.326811768129</v>
      </c>
      <c r="O64" s="50">
        <f t="shared" si="1"/>
        <v>6070.9061449414503</v>
      </c>
      <c r="P64" s="50">
        <f t="shared" si="8"/>
        <v>6220.8276371976635</v>
      </c>
      <c r="Q64" s="50">
        <f t="shared" si="11"/>
        <v>93641.634806989983</v>
      </c>
      <c r="R64" s="50">
        <f t="shared" si="9"/>
        <v>99862.462444187651</v>
      </c>
      <c r="S64" s="18"/>
      <c r="V64" s="123" t="b">
        <f t="shared" si="12"/>
        <v>0</v>
      </c>
      <c r="W64" s="55" t="b">
        <f t="shared" si="13"/>
        <v>0</v>
      </c>
      <c r="X64" s="55" t="b">
        <f t="shared" si="14"/>
        <v>0</v>
      </c>
      <c r="Y64" s="106" t="b">
        <f t="shared" si="15"/>
        <v>0</v>
      </c>
    </row>
    <row r="65" spans="2:25">
      <c r="B65" s="16"/>
      <c r="C65" s="54">
        <f t="shared" si="2"/>
        <v>60</v>
      </c>
      <c r="D65" s="50">
        <f t="shared" si="3"/>
        <v>78921.779884238858</v>
      </c>
      <c r="E65" s="50">
        <f t="shared" si="0"/>
        <v>6313.7423907391085</v>
      </c>
      <c r="F65" s="50">
        <f t="shared" si="4"/>
        <v>6469.6607426855699</v>
      </c>
      <c r="G65" s="50">
        <f t="shared" si="10"/>
        <v>183604.16399008149</v>
      </c>
      <c r="H65" s="50">
        <f t="shared" si="5"/>
        <v>190073.82473276707</v>
      </c>
      <c r="I65" s="18"/>
      <c r="L65" s="16"/>
      <c r="M65" s="54">
        <f t="shared" si="6"/>
        <v>60</v>
      </c>
      <c r="N65" s="50">
        <f t="shared" si="7"/>
        <v>78921.779884238858</v>
      </c>
      <c r="O65" s="50">
        <f t="shared" si="1"/>
        <v>6313.7423907391085</v>
      </c>
      <c r="P65" s="50">
        <f t="shared" si="8"/>
        <v>6469.6607426855699</v>
      </c>
      <c r="Q65" s="50">
        <f t="shared" si="11"/>
        <v>104855.58556639704</v>
      </c>
      <c r="R65" s="50">
        <f t="shared" si="9"/>
        <v>111325.24630908261</v>
      </c>
      <c r="S65" s="18"/>
      <c r="V65" s="123" t="b">
        <f t="shared" si="12"/>
        <v>0</v>
      </c>
      <c r="W65" s="55" t="b">
        <f t="shared" si="13"/>
        <v>0</v>
      </c>
      <c r="X65" s="55" t="b">
        <f t="shared" si="14"/>
        <v>0</v>
      </c>
      <c r="Y65" s="106" t="b">
        <f t="shared" si="15"/>
        <v>0</v>
      </c>
    </row>
    <row r="66" spans="2:25">
      <c r="B66" s="16"/>
      <c r="C66" s="54">
        <f t="shared" si="2"/>
        <v>61</v>
      </c>
      <c r="D66" s="50">
        <f t="shared" si="3"/>
        <v>82078.651079608419</v>
      </c>
      <c r="E66" s="50">
        <f t="shared" si="0"/>
        <v>6566.2920863686741</v>
      </c>
      <c r="F66" s="50">
        <f t="shared" si="4"/>
        <v>6728.4471723929937</v>
      </c>
      <c r="G66" s="50">
        <f t="shared" si="10"/>
        <v>199577.51596940542</v>
      </c>
      <c r="H66" s="50">
        <f t="shared" si="5"/>
        <v>206305.96314179842</v>
      </c>
      <c r="I66" s="18"/>
      <c r="L66" s="16"/>
      <c r="M66" s="54">
        <f t="shared" si="6"/>
        <v>61</v>
      </c>
      <c r="N66" s="50">
        <f t="shared" si="7"/>
        <v>82078.651079608419</v>
      </c>
      <c r="O66" s="50">
        <f t="shared" si="1"/>
        <v>6566.2920863686741</v>
      </c>
      <c r="P66" s="50">
        <f t="shared" si="8"/>
        <v>6728.4471723929937</v>
      </c>
      <c r="Q66" s="50">
        <f t="shared" si="11"/>
        <v>116891.50862453674</v>
      </c>
      <c r="R66" s="50">
        <f t="shared" si="9"/>
        <v>123619.95579692973</v>
      </c>
      <c r="S66" s="18"/>
      <c r="V66" s="123" t="b">
        <f t="shared" si="12"/>
        <v>0</v>
      </c>
      <c r="W66" s="55" t="b">
        <f t="shared" si="13"/>
        <v>0</v>
      </c>
      <c r="X66" s="55" t="b">
        <f t="shared" si="14"/>
        <v>0</v>
      </c>
      <c r="Y66" s="106" t="b">
        <f t="shared" si="15"/>
        <v>0</v>
      </c>
    </row>
    <row r="67" spans="2:25">
      <c r="B67" s="16"/>
      <c r="C67" s="54">
        <f t="shared" si="2"/>
        <v>62</v>
      </c>
      <c r="D67" s="50">
        <f t="shared" si="3"/>
        <v>85361.797122792763</v>
      </c>
      <c r="E67" s="50">
        <f t="shared" si="0"/>
        <v>6828.9437698234215</v>
      </c>
      <c r="F67" s="50">
        <f t="shared" si="4"/>
        <v>6997.5850592887145</v>
      </c>
      <c r="G67" s="50">
        <f t="shared" si="10"/>
        <v>216621.26129888836</v>
      </c>
      <c r="H67" s="50">
        <f t="shared" si="5"/>
        <v>223618.84635817708</v>
      </c>
      <c r="I67" s="18"/>
      <c r="L67" s="16"/>
      <c r="M67" s="54">
        <f t="shared" si="6"/>
        <v>62</v>
      </c>
      <c r="N67" s="50">
        <f t="shared" si="7"/>
        <v>85361.797122792763</v>
      </c>
      <c r="O67" s="50">
        <f t="shared" si="1"/>
        <v>6828.9437698234215</v>
      </c>
      <c r="P67" s="50">
        <f t="shared" si="8"/>
        <v>6997.5850592887145</v>
      </c>
      <c r="Q67" s="50">
        <f t="shared" si="11"/>
        <v>129800.95358677622</v>
      </c>
      <c r="R67" s="50">
        <f t="shared" si="9"/>
        <v>136798.53864606493</v>
      </c>
      <c r="S67" s="18"/>
      <c r="V67" s="123" t="b">
        <f t="shared" si="12"/>
        <v>0</v>
      </c>
      <c r="W67" s="55" t="b">
        <f t="shared" si="13"/>
        <v>0</v>
      </c>
      <c r="X67" s="55" t="b">
        <f t="shared" si="14"/>
        <v>0</v>
      </c>
      <c r="Y67" s="106" t="b">
        <f t="shared" si="15"/>
        <v>0</v>
      </c>
    </row>
    <row r="68" spans="2:25">
      <c r="B68" s="16"/>
      <c r="C68" s="54">
        <f t="shared" si="2"/>
        <v>63</v>
      </c>
      <c r="D68" s="50">
        <f t="shared" si="3"/>
        <v>88776.269007704483</v>
      </c>
      <c r="E68" s="50">
        <f t="shared" si="0"/>
        <v>7102.1015206163584</v>
      </c>
      <c r="F68" s="50">
        <f t="shared" si="4"/>
        <v>7277.4884616602631</v>
      </c>
      <c r="G68" s="50">
        <f t="shared" si="10"/>
        <v>234799.78867608594</v>
      </c>
      <c r="H68" s="50">
        <f t="shared" si="5"/>
        <v>242077.27713774619</v>
      </c>
      <c r="I68" s="18"/>
      <c r="L68" s="16"/>
      <c r="M68" s="54">
        <f t="shared" si="6"/>
        <v>63</v>
      </c>
      <c r="N68" s="50">
        <f t="shared" si="7"/>
        <v>88776.269007704483</v>
      </c>
      <c r="O68" s="50">
        <f t="shared" si="1"/>
        <v>7102.1015206163584</v>
      </c>
      <c r="P68" s="50">
        <f t="shared" si="8"/>
        <v>7277.4884616602631</v>
      </c>
      <c r="Q68" s="50">
        <f t="shared" si="11"/>
        <v>143638.4655783682</v>
      </c>
      <c r="R68" s="50">
        <f t="shared" si="9"/>
        <v>150915.95404002845</v>
      </c>
      <c r="S68" s="18"/>
      <c r="V68" s="123" t="b">
        <f t="shared" si="12"/>
        <v>0</v>
      </c>
      <c r="W68" s="55" t="b">
        <f t="shared" si="13"/>
        <v>0</v>
      </c>
      <c r="X68" s="55" t="b">
        <f t="shared" si="14"/>
        <v>0</v>
      </c>
      <c r="Y68" s="106" t="b">
        <f t="shared" si="15"/>
        <v>0</v>
      </c>
    </row>
    <row r="69" spans="2:25">
      <c r="B69" s="16"/>
      <c r="C69" s="54">
        <f t="shared" si="2"/>
        <v>64</v>
      </c>
      <c r="D69" s="50">
        <f t="shared" si="3"/>
        <v>92327.319768012661</v>
      </c>
      <c r="E69" s="50">
        <f t="shared" si="0"/>
        <v>7386.1855814410128</v>
      </c>
      <c r="F69" s="50">
        <f t="shared" si="4"/>
        <v>7568.5880001266733</v>
      </c>
      <c r="G69" s="50">
        <f t="shared" si="10"/>
        <v>254181.14099463352</v>
      </c>
      <c r="H69" s="50">
        <f t="shared" si="5"/>
        <v>261749.7289947602</v>
      </c>
      <c r="I69" s="18"/>
      <c r="L69" s="16"/>
      <c r="M69" s="54">
        <f t="shared" si="6"/>
        <v>64</v>
      </c>
      <c r="N69" s="50">
        <f t="shared" si="7"/>
        <v>92327.319768012661</v>
      </c>
      <c r="O69" s="50">
        <f t="shared" si="1"/>
        <v>7386.1855814410128</v>
      </c>
      <c r="P69" s="50">
        <f t="shared" si="8"/>
        <v>7568.5880001266733</v>
      </c>
      <c r="Q69" s="50">
        <f t="shared" si="11"/>
        <v>158461.75174202988</v>
      </c>
      <c r="R69" s="50">
        <f t="shared" si="9"/>
        <v>166030.33974215656</v>
      </c>
      <c r="S69" s="18"/>
      <c r="V69" s="124" t="b">
        <f t="shared" si="12"/>
        <v>0</v>
      </c>
      <c r="W69" s="125" t="b">
        <f t="shared" si="13"/>
        <v>0</v>
      </c>
      <c r="X69" s="125" t="b">
        <f t="shared" si="14"/>
        <v>0</v>
      </c>
      <c r="Y69" s="126" t="b">
        <f t="shared" si="15"/>
        <v>0</v>
      </c>
    </row>
    <row r="70" spans="2:25">
      <c r="B70" s="20"/>
      <c r="C70" s="35"/>
      <c r="D70" s="35"/>
      <c r="E70" s="35"/>
      <c r="F70" s="35"/>
      <c r="G70" s="35"/>
      <c r="H70" s="35"/>
      <c r="I70" s="21"/>
      <c r="L70" s="20"/>
      <c r="M70" s="35"/>
      <c r="N70" s="35"/>
      <c r="O70" s="35"/>
      <c r="P70" s="35"/>
      <c r="Q70" s="35"/>
      <c r="R70" s="35"/>
      <c r="S70" s="21"/>
    </row>
  </sheetData>
  <mergeCells count="2">
    <mergeCell ref="C23:E23"/>
    <mergeCell ref="M23:O23"/>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9" tint="0.39997558519241921"/>
  </sheetPr>
  <dimension ref="B3:C24"/>
  <sheetViews>
    <sheetView showGridLines="0" workbookViewId="0"/>
  </sheetViews>
  <sheetFormatPr defaultRowHeight="15"/>
  <cols>
    <col min="2" max="2" width="17.42578125" bestFit="1" customWidth="1"/>
    <col min="3" max="3" width="15.85546875" bestFit="1" customWidth="1"/>
  </cols>
  <sheetData>
    <row r="3" spans="2:3">
      <c r="B3" s="91" t="s">
        <v>13</v>
      </c>
      <c r="C3" s="92" t="s">
        <v>6</v>
      </c>
    </row>
    <row r="4" spans="2:3">
      <c r="B4" s="93">
        <f>'Fund Calcs by Investment Return'!F12</f>
        <v>2.5000000000000001E-2</v>
      </c>
      <c r="C4" s="94">
        <f>'Fund Calcs by Investment Return'!F19</f>
        <v>85102.601308056372</v>
      </c>
    </row>
    <row r="5" spans="2:3">
      <c r="B5" s="93">
        <f>'Base Scenario Fund Calcs'!F12</f>
        <v>0.05</v>
      </c>
      <c r="C5" s="94">
        <f>'Base Scenario Fund Calcs'!F19</f>
        <v>136712.40376310027</v>
      </c>
    </row>
    <row r="6" spans="2:3">
      <c r="B6" s="95">
        <f>'Fund Calcs by Investment Return'!P12</f>
        <v>7.0000000000000007E-2</v>
      </c>
      <c r="C6" s="96">
        <f>'Fund Calcs by Investment Return'!P19</f>
        <v>209027.63658566613</v>
      </c>
    </row>
    <row r="21" spans="2:3" ht="30">
      <c r="B21" s="91" t="s">
        <v>14</v>
      </c>
      <c r="C21" s="92" t="s">
        <v>15</v>
      </c>
    </row>
    <row r="22" spans="2:3">
      <c r="B22" s="69">
        <f>'Base Scenario Fund Calcs'!F7</f>
        <v>25</v>
      </c>
      <c r="C22" s="97">
        <f>'Base Scenario Fund Calcs'!F9</f>
        <v>0.08</v>
      </c>
    </row>
    <row r="23" spans="2:3">
      <c r="B23" s="69">
        <f>'Fund Calcs by Cont Start Age'!F7</f>
        <v>35</v>
      </c>
      <c r="C23" s="97">
        <f>'Fund Calcs by Cont Start Age'!F25</f>
        <v>0.11219313441536129</v>
      </c>
    </row>
    <row r="24" spans="2:3">
      <c r="B24" s="87">
        <f>'Fund Calcs by Cont Start Age'!P7</f>
        <v>45</v>
      </c>
      <c r="C24" s="98">
        <f>'Fund Calcs by Cont Start Age'!P25</f>
        <v>0.1768744349611007</v>
      </c>
    </row>
  </sheetData>
  <phoneticPr fontId="5"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tabColor theme="5" tint="-0.249977111117893"/>
  </sheetPr>
  <dimension ref="A1:U88"/>
  <sheetViews>
    <sheetView showGridLines="0" zoomScale="80" zoomScaleNormal="80" workbookViewId="0"/>
  </sheetViews>
  <sheetFormatPr defaultRowHeight="15"/>
  <cols>
    <col min="1" max="1" width="3.28515625" customWidth="1"/>
    <col min="3" max="3" width="15.42578125" customWidth="1"/>
    <col min="4" max="4" width="15.140625" customWidth="1"/>
    <col min="5" max="5" width="20.7109375" customWidth="1"/>
    <col min="6" max="10" width="19" customWidth="1"/>
    <col min="11" max="11" width="3.28515625" customWidth="1"/>
    <col min="13" max="13" width="15.42578125" customWidth="1"/>
    <col min="14" max="14" width="15.140625" customWidth="1"/>
    <col min="15" max="15" width="20.7109375" customWidth="1"/>
    <col min="16" max="16" width="19" bestFit="1" customWidth="1"/>
    <col min="17" max="17" width="17.140625" bestFit="1" customWidth="1"/>
    <col min="18" max="18" width="15.42578125" customWidth="1"/>
    <col min="19" max="19" width="11.85546875" customWidth="1"/>
  </cols>
  <sheetData>
    <row r="1" spans="2:20" ht="23.25" thickBot="1">
      <c r="B1" s="82" t="s">
        <v>16</v>
      </c>
      <c r="C1" s="3"/>
      <c r="D1" s="3"/>
      <c r="E1" s="3"/>
      <c r="F1" s="3"/>
      <c r="G1" s="3"/>
      <c r="H1" s="3"/>
      <c r="I1" s="3"/>
      <c r="L1" s="107"/>
      <c r="M1" s="108"/>
      <c r="N1" s="108"/>
      <c r="O1" s="108"/>
      <c r="P1" s="108"/>
      <c r="Q1" s="108"/>
      <c r="R1" s="108"/>
      <c r="S1" s="108"/>
      <c r="T1" s="109"/>
    </row>
    <row r="2" spans="2:20" ht="23.25" thickTop="1">
      <c r="B2" s="107"/>
      <c r="C2" s="108"/>
      <c r="D2" s="108"/>
      <c r="E2" s="108"/>
      <c r="F2" s="108"/>
      <c r="G2" s="108"/>
      <c r="H2" s="108"/>
      <c r="I2" s="108"/>
      <c r="L2" s="107"/>
      <c r="M2" s="108"/>
      <c r="N2" s="108"/>
      <c r="O2" s="108"/>
      <c r="P2" s="108"/>
      <c r="Q2" s="108"/>
      <c r="R2" s="108"/>
      <c r="S2" s="108"/>
    </row>
    <row r="3" spans="2:20" ht="22.5">
      <c r="B3" s="129" t="s">
        <v>99</v>
      </c>
      <c r="C3" s="130"/>
      <c r="D3" s="130"/>
      <c r="E3" s="130"/>
      <c r="F3" s="130"/>
      <c r="G3" s="130"/>
      <c r="H3" s="130"/>
      <c r="I3" s="130"/>
      <c r="J3" s="38"/>
      <c r="K3" s="109"/>
      <c r="L3" s="107"/>
      <c r="M3" s="108"/>
      <c r="N3" s="108"/>
      <c r="O3" s="108"/>
      <c r="P3" s="108"/>
      <c r="Q3" s="108"/>
      <c r="R3" s="108"/>
      <c r="S3" s="108"/>
      <c r="T3" s="109"/>
    </row>
    <row r="4" spans="2:20" ht="22.5">
      <c r="B4" s="131"/>
      <c r="C4" s="127"/>
      <c r="D4" s="127"/>
      <c r="E4" s="127"/>
      <c r="F4" s="127"/>
      <c r="G4" s="127"/>
      <c r="H4" s="127"/>
      <c r="I4" s="127"/>
      <c r="J4" s="40"/>
      <c r="K4" s="109"/>
      <c r="L4" s="107"/>
      <c r="M4" s="108"/>
      <c r="N4" s="108"/>
      <c r="O4" s="108"/>
      <c r="P4" s="108"/>
      <c r="Q4" s="108"/>
      <c r="R4" s="108"/>
      <c r="S4" s="108"/>
      <c r="T4" s="109"/>
    </row>
    <row r="5" spans="2:20" ht="58.5">
      <c r="B5" s="131"/>
      <c r="C5" s="127"/>
      <c r="D5" s="17"/>
      <c r="E5" s="17"/>
      <c r="F5" s="128" t="s">
        <v>147</v>
      </c>
      <c r="G5" s="128" t="s">
        <v>107</v>
      </c>
      <c r="H5" s="128" t="s">
        <v>108</v>
      </c>
      <c r="I5" s="128" t="s">
        <v>109</v>
      </c>
      <c r="J5" s="132" t="s">
        <v>110</v>
      </c>
      <c r="K5" s="108"/>
      <c r="S5" s="108"/>
      <c r="T5" s="109"/>
    </row>
    <row r="6" spans="2:20" ht="22.5">
      <c r="B6" s="131"/>
      <c r="C6" s="127" t="s">
        <v>35</v>
      </c>
      <c r="D6" s="17"/>
      <c r="E6" s="17"/>
      <c r="F6" s="137" t="str">
        <f>'Base Scenario Fund Calcs'!G6</f>
        <v>ok</v>
      </c>
      <c r="G6" s="137" t="str">
        <f>'Fund Calcs by Investment Return'!G6</f>
        <v>ok</v>
      </c>
      <c r="H6" s="137" t="str">
        <f>'Fund Calcs by Investment Return'!Q6</f>
        <v>ok</v>
      </c>
      <c r="I6" s="137" t="str">
        <f>'Fund Calcs by Cont Start Age'!G6</f>
        <v>ok</v>
      </c>
      <c r="J6" s="138" t="str">
        <f>'Fund Calcs by Cont Start Age'!Q6</f>
        <v>ok</v>
      </c>
      <c r="K6" s="108"/>
      <c r="S6" s="108"/>
      <c r="T6" s="109"/>
    </row>
    <row r="7" spans="2:20" ht="30.75">
      <c r="B7" s="131"/>
      <c r="C7" s="127" t="s">
        <v>34</v>
      </c>
      <c r="D7" s="17"/>
      <c r="E7" s="17"/>
      <c r="F7" s="137" t="str">
        <f>'Base Scenario Fund Calcs'!G7</f>
        <v>ok</v>
      </c>
      <c r="G7" s="137" t="str">
        <f>'Fund Calcs by Investment Return'!G7</f>
        <v>ok</v>
      </c>
      <c r="H7" s="137" t="str">
        <f>'Fund Calcs by Investment Return'!Q7</f>
        <v>ok</v>
      </c>
      <c r="I7" s="137" t="str">
        <f>'Fund Calcs by Cont Start Age'!G7</f>
        <v>Note: Parameter Override</v>
      </c>
      <c r="J7" s="138" t="str">
        <f>'Fund Calcs by Cont Start Age'!Q7</f>
        <v>Note: Parameter Override</v>
      </c>
      <c r="K7" s="108"/>
      <c r="S7" s="108"/>
      <c r="T7" s="109"/>
    </row>
    <row r="8" spans="2:20" ht="22.5">
      <c r="B8" s="131"/>
      <c r="C8" s="127" t="s">
        <v>33</v>
      </c>
      <c r="D8" s="17"/>
      <c r="E8" s="17"/>
      <c r="F8" s="137" t="str">
        <f>'Base Scenario Fund Calcs'!G8</f>
        <v>ok</v>
      </c>
      <c r="G8" s="137" t="str">
        <f>'Fund Calcs by Investment Return'!G8</f>
        <v>ok</v>
      </c>
      <c r="H8" s="137" t="str">
        <f>'Fund Calcs by Investment Return'!Q8</f>
        <v>ok</v>
      </c>
      <c r="I8" s="137" t="str">
        <f>'Fund Calcs by Cont Start Age'!G8</f>
        <v>ok</v>
      </c>
      <c r="J8" s="138" t="str">
        <f>'Fund Calcs by Cont Start Age'!Q8</f>
        <v>ok</v>
      </c>
      <c r="K8" s="108"/>
      <c r="S8" s="108"/>
      <c r="T8" s="109"/>
    </row>
    <row r="9" spans="2:20" ht="22.5">
      <c r="B9" s="131"/>
      <c r="C9" s="127" t="s">
        <v>5</v>
      </c>
      <c r="D9" s="17"/>
      <c r="E9" s="17"/>
      <c r="F9" s="137" t="str">
        <f>'Base Scenario Fund Calcs'!G9</f>
        <v>ok</v>
      </c>
      <c r="G9" s="137" t="str">
        <f>'Fund Calcs by Investment Return'!G9</f>
        <v>ok</v>
      </c>
      <c r="H9" s="137" t="str">
        <f>'Fund Calcs by Investment Return'!Q9</f>
        <v>ok</v>
      </c>
      <c r="I9" s="137" t="str">
        <f>'Fund Calcs by Cont Start Age'!G9</f>
        <v>ok</v>
      </c>
      <c r="J9" s="138" t="str">
        <f>'Fund Calcs by Cont Start Age'!Q9</f>
        <v>ok</v>
      </c>
      <c r="K9" s="108"/>
      <c r="S9" s="108"/>
      <c r="T9" s="109"/>
    </row>
    <row r="10" spans="2:20" ht="22.5">
      <c r="B10" s="131"/>
      <c r="C10" s="127" t="s">
        <v>0</v>
      </c>
      <c r="D10" s="17"/>
      <c r="E10" s="17"/>
      <c r="F10" s="137" t="str">
        <f>'Base Scenario Fund Calcs'!G10</f>
        <v>ok</v>
      </c>
      <c r="G10" s="137" t="str">
        <f>'Fund Calcs by Investment Return'!G10</f>
        <v>ok</v>
      </c>
      <c r="H10" s="137" t="str">
        <f>'Fund Calcs by Investment Return'!Q10</f>
        <v>ok</v>
      </c>
      <c r="I10" s="137" t="str">
        <f>'Fund Calcs by Cont Start Age'!G10</f>
        <v>ok</v>
      </c>
      <c r="J10" s="138" t="str">
        <f>'Fund Calcs by Cont Start Age'!Q10</f>
        <v>ok</v>
      </c>
      <c r="K10" s="108"/>
      <c r="S10" s="108"/>
      <c r="T10" s="109"/>
    </row>
    <row r="11" spans="2:20" ht="22.5">
      <c r="B11" s="131"/>
      <c r="C11" s="127" t="s">
        <v>1</v>
      </c>
      <c r="D11" s="17"/>
      <c r="E11" s="17"/>
      <c r="F11" s="137" t="str">
        <f>'Base Scenario Fund Calcs'!G11</f>
        <v>ok</v>
      </c>
      <c r="G11" s="137" t="str">
        <f>'Fund Calcs by Investment Return'!G11</f>
        <v>ok</v>
      </c>
      <c r="H11" s="137" t="str">
        <f>'Fund Calcs by Investment Return'!Q11</f>
        <v>ok</v>
      </c>
      <c r="I11" s="137" t="str">
        <f>'Fund Calcs by Cont Start Age'!G11</f>
        <v>ok</v>
      </c>
      <c r="J11" s="138" t="str">
        <f>'Fund Calcs by Cont Start Age'!Q11</f>
        <v>ok</v>
      </c>
      <c r="K11" s="108"/>
      <c r="S11" s="108"/>
      <c r="T11" s="109"/>
    </row>
    <row r="12" spans="2:20" ht="30.75">
      <c r="B12" s="131"/>
      <c r="C12" s="127" t="s">
        <v>2</v>
      </c>
      <c r="D12" s="17"/>
      <c r="E12" s="17"/>
      <c r="F12" s="137" t="str">
        <f>'Base Scenario Fund Calcs'!G12</f>
        <v>ok</v>
      </c>
      <c r="G12" s="137" t="str">
        <f>'Fund Calcs by Investment Return'!G12</f>
        <v>Note: Parameter Override</v>
      </c>
      <c r="H12" s="137" t="str">
        <f>'Fund Calcs by Investment Return'!Q12</f>
        <v>Note: Parameter Override</v>
      </c>
      <c r="I12" s="137" t="str">
        <f>'Fund Calcs by Cont Start Age'!G12</f>
        <v>ok</v>
      </c>
      <c r="J12" s="138" t="str">
        <f>'Fund Calcs by Cont Start Age'!Q12</f>
        <v>ok</v>
      </c>
      <c r="K12" s="108"/>
      <c r="S12" s="108"/>
      <c r="T12" s="109"/>
    </row>
    <row r="13" spans="2:20" ht="22.5">
      <c r="B13" s="131"/>
      <c r="C13" s="127" t="s">
        <v>3</v>
      </c>
      <c r="D13" s="17"/>
      <c r="E13" s="17"/>
      <c r="F13" s="137" t="str">
        <f>'Base Scenario Fund Calcs'!G13</f>
        <v>ok</v>
      </c>
      <c r="G13" s="137" t="str">
        <f>'Fund Calcs by Investment Return'!G13</f>
        <v>ok</v>
      </c>
      <c r="H13" s="137" t="str">
        <f>'Fund Calcs by Investment Return'!Q13</f>
        <v>ok</v>
      </c>
      <c r="I13" s="137" t="str">
        <f>'Fund Calcs by Cont Start Age'!G13</f>
        <v>ok</v>
      </c>
      <c r="J13" s="138" t="str">
        <f>'Fund Calcs by Cont Start Age'!Q13</f>
        <v>ok</v>
      </c>
      <c r="K13" s="108"/>
      <c r="S13" s="108"/>
      <c r="T13" s="109"/>
    </row>
    <row r="14" spans="2:20" ht="22.5">
      <c r="B14" s="131"/>
      <c r="C14" s="127"/>
      <c r="D14" s="17"/>
      <c r="E14" s="17"/>
      <c r="F14" s="128"/>
      <c r="G14" s="128"/>
      <c r="H14" s="128"/>
      <c r="I14" s="128"/>
      <c r="J14" s="132"/>
      <c r="K14" s="108"/>
      <c r="S14" s="108"/>
      <c r="T14" s="109"/>
    </row>
    <row r="15" spans="2:20" ht="22.5">
      <c r="B15" s="131" t="s">
        <v>111</v>
      </c>
      <c r="C15" s="127"/>
      <c r="D15" s="17"/>
      <c r="E15" s="17"/>
      <c r="F15" s="128"/>
      <c r="G15" s="128"/>
      <c r="H15" s="128"/>
      <c r="I15" s="128"/>
      <c r="J15" s="132"/>
      <c r="K15" s="108"/>
      <c r="S15" s="108"/>
      <c r="T15" s="109"/>
    </row>
    <row r="16" spans="2:20" ht="22.5">
      <c r="B16" s="131"/>
      <c r="C16" s="127" t="s">
        <v>148</v>
      </c>
      <c r="D16" s="17"/>
      <c r="E16" s="17"/>
      <c r="F16" s="137" t="str">
        <f>'Base Scenario Fund Calcs'!P7</f>
        <v>ok</v>
      </c>
      <c r="G16" s="137" t="str">
        <f>'Fund Calcs by Investment Return'!X16</f>
        <v>ok</v>
      </c>
      <c r="H16" s="137" t="str">
        <f>'Fund Calcs by Investment Return'!Y16</f>
        <v>ok</v>
      </c>
      <c r="I16" s="137" t="str">
        <f>'Fund Calcs by Cont Start Age'!X16</f>
        <v>ok</v>
      </c>
      <c r="J16" s="138" t="str">
        <f>'Fund Calcs by Cont Start Age'!Y16</f>
        <v>ok</v>
      </c>
      <c r="K16" s="108"/>
      <c r="S16" s="108"/>
      <c r="T16" s="109"/>
    </row>
    <row r="17" spans="1:21" ht="22.5">
      <c r="B17" s="131"/>
      <c r="C17" s="127" t="s">
        <v>102</v>
      </c>
      <c r="D17" s="17"/>
      <c r="E17" s="17"/>
      <c r="F17" s="137" t="str">
        <f>'Base Scenario Fund Calcs'!P8</f>
        <v>ok</v>
      </c>
      <c r="G17" s="137" t="str">
        <f>'Fund Calcs by Investment Return'!X17</f>
        <v>ok</v>
      </c>
      <c r="H17" s="137" t="str">
        <f>'Fund Calcs by Investment Return'!Y17</f>
        <v>ok</v>
      </c>
      <c r="I17" s="137" t="str">
        <f>'Fund Calcs by Cont Start Age'!X17</f>
        <v>ok</v>
      </c>
      <c r="J17" s="138" t="str">
        <f>'Fund Calcs by Cont Start Age'!Y17</f>
        <v>ok</v>
      </c>
      <c r="K17" s="108"/>
      <c r="S17" s="108"/>
      <c r="T17" s="109"/>
    </row>
    <row r="18" spans="1:21" ht="22.5">
      <c r="B18" s="131"/>
      <c r="C18" s="127" t="s">
        <v>105</v>
      </c>
      <c r="D18" s="17"/>
      <c r="E18" s="17"/>
      <c r="F18" s="137" t="str">
        <f>'Base Scenario Fund Calcs'!P9</f>
        <v>ok</v>
      </c>
      <c r="G18" s="137" t="str">
        <f>'Fund Calcs by Investment Return'!X18</f>
        <v>ok</v>
      </c>
      <c r="H18" s="137" t="str">
        <f>'Fund Calcs by Investment Return'!Y18</f>
        <v>ok</v>
      </c>
      <c r="I18" s="137" t="str">
        <f>'Fund Calcs by Cont Start Age'!X18</f>
        <v>ok</v>
      </c>
      <c r="J18" s="138" t="str">
        <f>'Fund Calcs by Cont Start Age'!Y18</f>
        <v>ok</v>
      </c>
      <c r="K18" s="108"/>
      <c r="S18" s="108"/>
      <c r="T18" s="109"/>
    </row>
    <row r="19" spans="1:21" ht="22.5">
      <c r="B19" s="133"/>
      <c r="C19" s="134" t="s">
        <v>106</v>
      </c>
      <c r="D19" s="117"/>
      <c r="E19" s="117"/>
      <c r="F19" s="139" t="str">
        <f>'Base Scenario Fund Calcs'!P10</f>
        <v>ok</v>
      </c>
      <c r="G19" s="139" t="str">
        <f>'Fund Calcs by Investment Return'!X19</f>
        <v>ok</v>
      </c>
      <c r="H19" s="139" t="str">
        <f>'Fund Calcs by Investment Return'!Y19</f>
        <v>ok</v>
      </c>
      <c r="I19" s="139" t="str">
        <f>'Fund Calcs by Cont Start Age'!X19</f>
        <v>ok</v>
      </c>
      <c r="J19" s="140" t="str">
        <f>'Fund Calcs by Cont Start Age'!Y19</f>
        <v>ok</v>
      </c>
      <c r="K19" s="108"/>
      <c r="L19" s="108"/>
      <c r="M19" s="108"/>
      <c r="N19" s="108"/>
      <c r="S19" s="108"/>
      <c r="T19" s="109"/>
    </row>
    <row r="20" spans="1:21" ht="22.5">
      <c r="B20" s="107"/>
      <c r="F20" s="108"/>
      <c r="G20" s="108"/>
      <c r="H20" s="108"/>
      <c r="I20" s="108"/>
      <c r="J20" s="108"/>
      <c r="K20" s="108"/>
      <c r="L20" s="108"/>
      <c r="M20" s="108"/>
      <c r="N20" s="108"/>
      <c r="S20" s="108"/>
      <c r="T20" s="109"/>
    </row>
    <row r="21" spans="1:21" ht="22.5">
      <c r="B21" s="107"/>
      <c r="C21" s="108"/>
      <c r="D21" s="108"/>
      <c r="E21" s="135" t="s">
        <v>117</v>
      </c>
      <c r="F21" s="108"/>
      <c r="G21" s="108"/>
      <c r="H21" s="108"/>
      <c r="I21" s="108"/>
      <c r="J21" s="109"/>
      <c r="K21" s="109"/>
      <c r="L21" s="107"/>
      <c r="M21" s="108"/>
      <c r="N21" s="108"/>
      <c r="O21" s="108"/>
      <c r="P21" s="108"/>
      <c r="Q21" s="108"/>
      <c r="R21" s="108"/>
      <c r="S21" s="108"/>
      <c r="T21" s="109"/>
    </row>
    <row r="22" spans="1:21" ht="22.5">
      <c r="B22" s="107"/>
      <c r="C22" s="108"/>
      <c r="D22" s="108"/>
      <c r="E22" s="108" t="s">
        <v>118</v>
      </c>
      <c r="F22" s="108"/>
      <c r="G22" s="108"/>
      <c r="H22" s="108"/>
      <c r="I22" s="108"/>
      <c r="J22" s="109"/>
      <c r="K22" s="109"/>
      <c r="L22" s="107"/>
      <c r="M22" s="108"/>
      <c r="N22" s="108"/>
      <c r="O22" s="108"/>
      <c r="P22" s="108"/>
      <c r="Q22" s="108"/>
      <c r="R22" s="108"/>
      <c r="S22" s="108"/>
      <c r="T22" s="109"/>
    </row>
    <row r="23" spans="1:21" ht="22.5">
      <c r="B23" s="107"/>
      <c r="C23" s="108"/>
      <c r="D23" s="108"/>
      <c r="E23" s="108" t="s">
        <v>119</v>
      </c>
      <c r="F23" s="108"/>
      <c r="G23" s="108"/>
      <c r="H23" s="108"/>
      <c r="I23" s="108"/>
      <c r="J23" s="109"/>
      <c r="K23" s="109"/>
      <c r="L23" s="107"/>
      <c r="M23" s="108"/>
      <c r="N23" s="108"/>
      <c r="O23" s="108"/>
      <c r="P23" s="108"/>
      <c r="Q23" s="108"/>
      <c r="R23" s="108"/>
      <c r="S23" s="108"/>
      <c r="T23" s="109"/>
    </row>
    <row r="24" spans="1:21" ht="22.5">
      <c r="B24" s="107"/>
      <c r="C24" s="108"/>
      <c r="D24" s="108"/>
      <c r="E24" s="108" t="s">
        <v>120</v>
      </c>
      <c r="F24" s="108"/>
      <c r="G24" s="108"/>
      <c r="H24" s="108"/>
      <c r="I24" s="108"/>
      <c r="J24" s="109"/>
      <c r="K24" s="109"/>
      <c r="L24" s="107"/>
      <c r="M24" s="108"/>
      <c r="N24" s="108"/>
      <c r="O24" s="108"/>
      <c r="P24" s="108"/>
      <c r="Q24" s="108"/>
      <c r="R24" s="108"/>
      <c r="S24" s="108"/>
      <c r="T24" s="109"/>
    </row>
    <row r="25" spans="1:21" ht="22.5">
      <c r="B25" s="107"/>
      <c r="C25" s="108"/>
      <c r="D25" s="108"/>
      <c r="E25" s="108" t="s">
        <v>121</v>
      </c>
      <c r="F25" s="108"/>
      <c r="G25" s="108"/>
      <c r="H25" s="108"/>
      <c r="I25" s="108"/>
      <c r="J25" s="109"/>
      <c r="K25" s="109"/>
      <c r="L25" s="107"/>
      <c r="M25" s="108"/>
      <c r="N25" s="108"/>
      <c r="O25" s="108"/>
      <c r="P25" s="108"/>
      <c r="Q25" s="108"/>
      <c r="R25" s="108"/>
      <c r="S25" s="108"/>
      <c r="T25" s="109"/>
    </row>
    <row r="26" spans="1:21" ht="22.5">
      <c r="B26" s="107"/>
      <c r="C26" s="108"/>
      <c r="D26" s="108"/>
      <c r="E26" s="108"/>
      <c r="F26" s="108"/>
      <c r="G26" s="108"/>
      <c r="H26" s="108"/>
      <c r="I26" s="108"/>
      <c r="J26" s="109"/>
      <c r="K26" s="109"/>
      <c r="L26" s="107"/>
      <c r="M26" s="108"/>
      <c r="N26" s="108"/>
      <c r="O26" s="108"/>
      <c r="P26" s="108"/>
      <c r="Q26" s="108"/>
      <c r="R26" s="108"/>
      <c r="S26" s="108"/>
      <c r="T26" s="109"/>
    </row>
    <row r="28" spans="1:21">
      <c r="B28" s="10"/>
      <c r="C28" s="11"/>
      <c r="D28" s="11"/>
      <c r="E28" s="11"/>
      <c r="F28" s="11"/>
      <c r="G28" s="11"/>
      <c r="H28" s="11"/>
      <c r="I28" s="12"/>
      <c r="M28" s="10"/>
      <c r="N28" s="11"/>
      <c r="O28" s="11"/>
      <c r="P28" s="11"/>
      <c r="Q28" s="11"/>
      <c r="R28" s="11"/>
      <c r="S28" s="11"/>
      <c r="T28" s="12"/>
    </row>
    <row r="29" spans="1:21" ht="20.25" thickBot="1">
      <c r="A29" s="9"/>
      <c r="B29" s="13"/>
      <c r="C29" s="14" t="s">
        <v>96</v>
      </c>
      <c r="D29" s="14"/>
      <c r="E29" s="14"/>
      <c r="F29" s="14"/>
      <c r="G29" s="14"/>
      <c r="H29" s="14"/>
      <c r="I29" s="15"/>
      <c r="J29" s="9"/>
      <c r="L29" s="9"/>
      <c r="M29" s="13"/>
      <c r="N29" s="14" t="s">
        <v>96</v>
      </c>
      <c r="O29" s="14"/>
      <c r="P29" s="14"/>
      <c r="Q29" s="14"/>
      <c r="R29" s="14"/>
      <c r="S29" s="14"/>
      <c r="T29" s="15"/>
      <c r="U29" s="9"/>
    </row>
    <row r="30" spans="1:21" ht="15.75" thickTop="1">
      <c r="B30" s="16"/>
      <c r="C30" s="17"/>
      <c r="D30" s="17"/>
      <c r="E30" s="17"/>
      <c r="F30" s="17"/>
      <c r="G30" s="46" t="s">
        <v>38</v>
      </c>
      <c r="H30" s="46"/>
      <c r="I30" s="18"/>
      <c r="M30" s="16"/>
      <c r="N30" s="17"/>
      <c r="O30" s="17"/>
      <c r="P30" s="17"/>
      <c r="Q30" s="17"/>
      <c r="R30" s="46" t="s">
        <v>38</v>
      </c>
      <c r="S30" s="46"/>
      <c r="T30" s="18"/>
    </row>
    <row r="31" spans="1:21">
      <c r="B31" s="16"/>
      <c r="C31" s="17"/>
      <c r="D31" s="36"/>
      <c r="E31" s="37" t="s">
        <v>35</v>
      </c>
      <c r="F31" s="38">
        <f>CurrentAge</f>
        <v>25</v>
      </c>
      <c r="G31" s="55" t="str">
        <f>IF(F31=CurrentAge,"ok",IF(F31&lt;0,"Current Age must be greater than zero","Note: Parameter Override"))</f>
        <v>ok</v>
      </c>
      <c r="H31" s="55"/>
      <c r="I31" s="18"/>
      <c r="M31" s="16"/>
      <c r="N31" s="17"/>
      <c r="O31" s="36"/>
      <c r="P31" s="37" t="s">
        <v>35</v>
      </c>
      <c r="Q31" s="38">
        <f>CurrentAge</f>
        <v>25</v>
      </c>
      <c r="R31" s="55" t="str">
        <f>IF(Q31=CurrentAge,"ok",IF(Q31&lt;0,"Current Age must be greater than zero","Note: Parameter Override"))</f>
        <v>ok</v>
      </c>
      <c r="S31" s="55"/>
      <c r="T31" s="18"/>
    </row>
    <row r="32" spans="1:21">
      <c r="B32" s="16"/>
      <c r="C32" s="17"/>
      <c r="D32" s="39"/>
      <c r="E32" s="19" t="s">
        <v>34</v>
      </c>
      <c r="F32" s="40">
        <f>'Fund Calcs by Cont Start Age'!F7</f>
        <v>35</v>
      </c>
      <c r="G32" s="55" t="str">
        <f>IF(F32=ContStartAge,"ok","Note: Parameter Override")</f>
        <v>Note: Parameter Override</v>
      </c>
      <c r="H32" s="55"/>
      <c r="I32" s="18"/>
      <c r="M32" s="16"/>
      <c r="N32" s="17"/>
      <c r="O32" s="39"/>
      <c r="P32" s="19" t="s">
        <v>34</v>
      </c>
      <c r="Q32" s="40">
        <f>'Fund Calcs by Cont Start Age'!P7</f>
        <v>45</v>
      </c>
      <c r="R32" s="55" t="str">
        <f>IF(Q32=ContStartAge,"ok","Note: Parameter Override")</f>
        <v>Note: Parameter Override</v>
      </c>
      <c r="S32" s="55"/>
      <c r="T32" s="18"/>
    </row>
    <row r="33" spans="1:21">
      <c r="B33" s="16"/>
      <c r="C33" s="17"/>
      <c r="D33" s="39"/>
      <c r="E33" s="19" t="s">
        <v>33</v>
      </c>
      <c r="F33" s="40">
        <f>RetirementAge</f>
        <v>65</v>
      </c>
      <c r="G33" s="55" t="str">
        <f>IF(F33&gt;MAX(C48:C87)+1,"Sheet will only work up to age "&amp;MAX(C48:C87)+1&amp;". Please copy formulae down to increase the maximum age",IF(F33&lt;F31,"Retirement Age must be greater than current age",IF(F33=RetirementAge,"ok","Note: Parameter Override")))</f>
        <v>ok</v>
      </c>
      <c r="H33" s="55"/>
      <c r="I33" s="18"/>
      <c r="M33" s="16"/>
      <c r="N33" s="17"/>
      <c r="O33" s="39"/>
      <c r="P33" s="19" t="s">
        <v>33</v>
      </c>
      <c r="Q33" s="40">
        <f>RetirementAge</f>
        <v>65</v>
      </c>
      <c r="R33" s="55" t="str">
        <f>IF(Q33&gt;MAX(N48:N87)+1,"Sheet will only work up to age "&amp;MAX(N48:N87)+1&amp;". Please copy formulae down to increase the maximum age",IF(Q33&lt;Q31,"Retirement Age must be greater than current age",IF(Q33=RetirementAge,"ok","Note: Parameter Override")))</f>
        <v>ok</v>
      </c>
      <c r="S33" s="55"/>
      <c r="T33" s="18"/>
    </row>
    <row r="34" spans="1:21">
      <c r="B34" s="16"/>
      <c r="C34" s="17"/>
      <c r="D34" s="39"/>
      <c r="E34" s="19" t="s">
        <v>5</v>
      </c>
      <c r="F34" s="41">
        <f>'Fund Calcs by Cont Start Age'!F25</f>
        <v>0.11219313441536129</v>
      </c>
      <c r="G34" s="55" t="str">
        <f>IF(F34=ContRate,"ok","Note: Parameter Override")</f>
        <v>Note: Parameter Override</v>
      </c>
      <c r="H34" s="55"/>
      <c r="I34" s="18"/>
      <c r="M34" s="16"/>
      <c r="N34" s="17"/>
      <c r="O34" s="39"/>
      <c r="P34" s="19" t="s">
        <v>5</v>
      </c>
      <c r="Q34" s="41">
        <f>'Fund Calcs by Cont Start Age'!P25</f>
        <v>0.1768744349611007</v>
      </c>
      <c r="R34" s="55" t="str">
        <f>IF(Q34=ContRate,"ok","Note: Parameter Override")</f>
        <v>Note: Parameter Override</v>
      </c>
      <c r="S34" s="55"/>
      <c r="T34" s="18"/>
    </row>
    <row r="35" spans="1:21">
      <c r="B35" s="16"/>
      <c r="C35" s="17"/>
      <c r="D35" s="39"/>
      <c r="E35" s="19" t="s">
        <v>0</v>
      </c>
      <c r="F35" s="42">
        <f>StartSal</f>
        <v>20000</v>
      </c>
      <c r="G35" s="55" t="str">
        <f>IF(F35=StartSal,"ok","Note: Parameter Override")</f>
        <v>ok</v>
      </c>
      <c r="H35" s="55"/>
      <c r="I35" s="18"/>
      <c r="M35" s="16"/>
      <c r="N35" s="17"/>
      <c r="O35" s="39"/>
      <c r="P35" s="19" t="s">
        <v>0</v>
      </c>
      <c r="Q35" s="42">
        <f>StartSal</f>
        <v>20000</v>
      </c>
      <c r="R35" s="55" t="str">
        <f>IF(Q35=StartSal,"ok","Note: Parameter Override")</f>
        <v>ok</v>
      </c>
      <c r="S35" s="55"/>
      <c r="T35" s="18"/>
    </row>
    <row r="36" spans="1:21">
      <c r="B36" s="16"/>
      <c r="C36" s="17"/>
      <c r="D36" s="39"/>
      <c r="E36" s="19" t="s">
        <v>1</v>
      </c>
      <c r="F36" s="41">
        <f>SalInc</f>
        <v>0.04</v>
      </c>
      <c r="G36" s="55" t="str">
        <f>IF(F36=SalInc,"ok","Note: Parameter Override")</f>
        <v>ok</v>
      </c>
      <c r="H36" s="55"/>
      <c r="I36" s="18"/>
      <c r="M36" s="16"/>
      <c r="N36" s="17"/>
      <c r="O36" s="39"/>
      <c r="P36" s="19" t="s">
        <v>1</v>
      </c>
      <c r="Q36" s="41">
        <f>SalInc</f>
        <v>0.04</v>
      </c>
      <c r="R36" s="55" t="str">
        <f>IF(Q36=SalInc,"ok","Note: Parameter Override")</f>
        <v>ok</v>
      </c>
      <c r="S36" s="55"/>
      <c r="T36" s="18"/>
    </row>
    <row r="37" spans="1:21">
      <c r="B37" s="16"/>
      <c r="C37" s="17"/>
      <c r="D37" s="39"/>
      <c r="E37" s="19" t="s">
        <v>2</v>
      </c>
      <c r="F37" s="41">
        <f>InvRet</f>
        <v>0.05</v>
      </c>
      <c r="G37" s="55" t="str">
        <f>IF(F37=InvRet,"ok","Note: Parameter Override")</f>
        <v>ok</v>
      </c>
      <c r="H37" s="55"/>
      <c r="I37" s="18"/>
      <c r="M37" s="16"/>
      <c r="N37" s="17"/>
      <c r="O37" s="39"/>
      <c r="P37" s="19" t="s">
        <v>2</v>
      </c>
      <c r="Q37" s="41">
        <f>InvRet</f>
        <v>0.05</v>
      </c>
      <c r="R37" s="55" t="str">
        <f>IF(Q37=InvRet,"ok","Note: Parameter Override")</f>
        <v>ok</v>
      </c>
      <c r="S37" s="55"/>
      <c r="T37" s="18"/>
    </row>
    <row r="38" spans="1:21">
      <c r="B38" s="16"/>
      <c r="C38" s="17"/>
      <c r="D38" s="39"/>
      <c r="E38" s="19" t="s">
        <v>3</v>
      </c>
      <c r="F38" s="41">
        <f>PriceInf</f>
        <v>2.5000000000000001E-2</v>
      </c>
      <c r="G38" s="55" t="str">
        <f>IF(F38=PriceInf,"ok","Note: Parameter Override")</f>
        <v>ok</v>
      </c>
      <c r="H38" s="55"/>
      <c r="I38" s="18"/>
      <c r="M38" s="16"/>
      <c r="N38" s="17"/>
      <c r="O38" s="39"/>
      <c r="P38" s="19" t="s">
        <v>3</v>
      </c>
      <c r="Q38" s="41">
        <f>PriceInf</f>
        <v>2.5000000000000001E-2</v>
      </c>
      <c r="R38" s="55" t="str">
        <f>IF(Q38=PriceInf,"ok","Note: Parameter Override")</f>
        <v>ok</v>
      </c>
      <c r="S38" s="55"/>
      <c r="T38" s="18"/>
    </row>
    <row r="39" spans="1:21">
      <c r="B39" s="16"/>
      <c r="C39" s="17"/>
      <c r="D39" s="39"/>
      <c r="E39" s="19" t="s">
        <v>10</v>
      </c>
      <c r="F39" s="40">
        <f>F33-F31</f>
        <v>40</v>
      </c>
      <c r="G39" s="17"/>
      <c r="H39" s="17"/>
      <c r="I39" s="18"/>
      <c r="M39" s="16"/>
      <c r="N39" s="17"/>
      <c r="O39" s="39"/>
      <c r="P39" s="19" t="s">
        <v>10</v>
      </c>
      <c r="Q39" s="40">
        <f>Q33-Q31</f>
        <v>40</v>
      </c>
      <c r="R39" s="17"/>
      <c r="S39" s="17"/>
      <c r="T39" s="18"/>
    </row>
    <row r="40" spans="1:21">
      <c r="B40" s="16"/>
      <c r="C40" s="17"/>
      <c r="D40" s="43"/>
      <c r="E40" s="44" t="s">
        <v>37</v>
      </c>
      <c r="F40" s="45">
        <f>MATCH(H$47,C$47:H$47,0)</f>
        <v>6</v>
      </c>
      <c r="G40" s="17"/>
      <c r="H40" s="17"/>
      <c r="I40" s="40"/>
      <c r="M40" s="16"/>
      <c r="N40" s="17"/>
      <c r="O40" s="43"/>
      <c r="P40" s="44" t="s">
        <v>37</v>
      </c>
      <c r="Q40" s="45">
        <f>MATCH(S$47,N$47:S$47,0)</f>
        <v>6</v>
      </c>
      <c r="R40" s="17"/>
      <c r="S40" s="17"/>
      <c r="T40" s="40"/>
    </row>
    <row r="41" spans="1:21">
      <c r="B41" s="16"/>
      <c r="C41" s="17"/>
      <c r="D41" s="17"/>
      <c r="E41" s="19"/>
      <c r="F41" s="17"/>
      <c r="G41" s="17" t="s">
        <v>97</v>
      </c>
      <c r="H41" s="17"/>
      <c r="I41" s="40" t="s">
        <v>98</v>
      </c>
      <c r="M41" s="16"/>
      <c r="N41" s="17"/>
      <c r="O41" s="17"/>
      <c r="P41" s="19"/>
      <c r="Q41" s="17"/>
      <c r="R41" s="17"/>
      <c r="S41" s="17"/>
      <c r="T41" s="40"/>
    </row>
    <row r="42" spans="1:21" ht="45">
      <c r="A42" s="5"/>
      <c r="B42" s="22"/>
      <c r="C42" s="23"/>
      <c r="D42" s="24"/>
      <c r="E42" s="25" t="s">
        <v>36</v>
      </c>
      <c r="F42" s="26">
        <f>VLOOKUP(F33-1,C$48:H$87,F40)</f>
        <v>367081.53160366899</v>
      </c>
      <c r="G42" s="104">
        <f>'Base Scenario Fund Calcs'!F17</f>
        <v>367081.53160366899</v>
      </c>
      <c r="H42" s="104"/>
      <c r="I42" s="106" t="str">
        <f>IF(ROUND(G42-F42,8)=0,"ok","Check")</f>
        <v>ok</v>
      </c>
      <c r="J42" s="5"/>
      <c r="L42" s="5"/>
      <c r="M42" s="22"/>
      <c r="N42" s="23"/>
      <c r="O42" s="24"/>
      <c r="P42" s="25" t="s">
        <v>36</v>
      </c>
      <c r="Q42" s="26">
        <f>VLOOKUP(Q33-1,N$48:S$87,Q40)</f>
        <v>367081.53160366899</v>
      </c>
      <c r="R42" s="104">
        <f>'Base Scenario Fund Calcs'!F17</f>
        <v>367081.53160366899</v>
      </c>
      <c r="S42" s="104"/>
      <c r="T42" s="106" t="str">
        <f>IF(ROUND(R42-Q42,8)=0,"ok","Check")</f>
        <v>ok</v>
      </c>
      <c r="U42" s="5"/>
    </row>
    <row r="43" spans="1:21">
      <c r="A43" s="5"/>
      <c r="B43" s="22"/>
      <c r="C43" s="23"/>
      <c r="D43" s="22"/>
      <c r="E43" s="23"/>
      <c r="F43" s="28"/>
      <c r="G43" s="27"/>
      <c r="H43" s="27"/>
      <c r="I43" s="57"/>
      <c r="J43" s="5"/>
      <c r="L43" s="5"/>
      <c r="M43" s="22"/>
      <c r="N43" s="23"/>
      <c r="O43" s="22"/>
      <c r="P43" s="23"/>
      <c r="Q43" s="28"/>
      <c r="R43" s="27"/>
      <c r="S43" s="27"/>
      <c r="T43" s="57"/>
      <c r="U43" s="5"/>
    </row>
    <row r="44" spans="1:21" ht="30">
      <c r="A44" s="5"/>
      <c r="B44" s="22"/>
      <c r="C44" s="23"/>
      <c r="D44" s="29"/>
      <c r="E44" s="30" t="s">
        <v>7</v>
      </c>
      <c r="F44" s="31">
        <f>F42*((1+F38)^-F39)</f>
        <v>136712.40376310027</v>
      </c>
      <c r="G44" s="104">
        <f>'Base Scenario Fund Calcs'!F19</f>
        <v>136712.40376310027</v>
      </c>
      <c r="H44" s="104"/>
      <c r="I44" s="106" t="str">
        <f>IF(ROUND(G44-F44,8)=0,"ok","Check")</f>
        <v>ok</v>
      </c>
      <c r="J44" s="5"/>
      <c r="L44" s="5"/>
      <c r="M44" s="22"/>
      <c r="N44" s="23"/>
      <c r="O44" s="29"/>
      <c r="P44" s="30" t="s">
        <v>7</v>
      </c>
      <c r="Q44" s="31">
        <f>Q42*((1+Q38)^-Q39)</f>
        <v>136712.40376310027</v>
      </c>
      <c r="R44" s="105">
        <f>'Base Scenario Fund Calcs'!F19</f>
        <v>136712.40376310027</v>
      </c>
      <c r="S44" s="105"/>
      <c r="T44" s="106" t="str">
        <f>IF(ROUND(R44-Q44,8)=0,"ok","Check")</f>
        <v>ok</v>
      </c>
      <c r="U44" s="5"/>
    </row>
    <row r="45" spans="1:21">
      <c r="B45" s="16"/>
      <c r="C45" s="17"/>
      <c r="D45" s="17"/>
      <c r="E45" s="17"/>
      <c r="F45" s="17"/>
      <c r="G45" s="17"/>
      <c r="H45" s="17"/>
      <c r="I45" s="40"/>
      <c r="M45" s="16"/>
      <c r="N45" s="17"/>
      <c r="O45" s="17"/>
      <c r="P45" s="17"/>
      <c r="Q45" s="17"/>
      <c r="R45" s="17"/>
      <c r="S45" s="17"/>
      <c r="T45" s="40"/>
    </row>
    <row r="46" spans="1:21">
      <c r="B46" s="16"/>
      <c r="C46" s="17"/>
      <c r="D46" s="17"/>
      <c r="E46" s="32"/>
      <c r="F46" s="17"/>
      <c r="G46" s="17"/>
      <c r="H46" s="17"/>
      <c r="I46" s="40"/>
      <c r="M46" s="16"/>
      <c r="N46" s="17"/>
      <c r="O46" s="17"/>
      <c r="P46" s="32"/>
      <c r="Q46" s="17"/>
      <c r="R46" s="17"/>
      <c r="S46" s="17"/>
      <c r="T46" s="40"/>
    </row>
    <row r="47" spans="1:21" ht="60">
      <c r="A47" s="8"/>
      <c r="B47" s="33"/>
      <c r="C47" s="52" t="s">
        <v>4</v>
      </c>
      <c r="D47" s="52" t="s">
        <v>8</v>
      </c>
      <c r="E47" s="52" t="s">
        <v>9</v>
      </c>
      <c r="F47" s="52" t="s">
        <v>163</v>
      </c>
      <c r="G47" s="52" t="s">
        <v>164</v>
      </c>
      <c r="H47" s="52" t="s">
        <v>170</v>
      </c>
      <c r="I47" s="34"/>
      <c r="J47" s="8"/>
      <c r="L47" s="8"/>
      <c r="M47" s="33"/>
      <c r="N47" s="52" t="s">
        <v>4</v>
      </c>
      <c r="O47" s="52" t="s">
        <v>8</v>
      </c>
      <c r="P47" s="52" t="s">
        <v>9</v>
      </c>
      <c r="Q47" s="52" t="s">
        <v>163</v>
      </c>
      <c r="R47" s="52" t="s">
        <v>164</v>
      </c>
      <c r="S47" s="52" t="s">
        <v>170</v>
      </c>
      <c r="T47" s="34"/>
      <c r="U47" s="8"/>
    </row>
    <row r="48" spans="1:21">
      <c r="B48" s="16"/>
      <c r="C48" s="53">
        <f>$F$31</f>
        <v>25</v>
      </c>
      <c r="D48" s="48">
        <f>F$35</f>
        <v>20000</v>
      </c>
      <c r="E48" s="50">
        <f>IF(C48&lt;F$32,0,D48*F$34)</f>
        <v>0</v>
      </c>
      <c r="F48" s="50">
        <f>E48*((1+$F$37)^0.5)</f>
        <v>0</v>
      </c>
      <c r="G48" s="48">
        <v>0</v>
      </c>
      <c r="H48" s="50">
        <f>F48+G48</f>
        <v>0</v>
      </c>
      <c r="I48" s="18"/>
      <c r="M48" s="16"/>
      <c r="N48" s="53">
        <f>$F$31</f>
        <v>25</v>
      </c>
      <c r="O48" s="48">
        <f>Q$35</f>
        <v>20000</v>
      </c>
      <c r="P48" s="50">
        <f>IF(N48&lt;Q$32,0,O48*Q$34)</f>
        <v>0</v>
      </c>
      <c r="Q48" s="50">
        <f>P48*((1+$F$37)^0.5)</f>
        <v>0</v>
      </c>
      <c r="R48" s="48">
        <v>0</v>
      </c>
      <c r="S48" s="50">
        <f>Q48+R48</f>
        <v>0</v>
      </c>
      <c r="T48" s="18"/>
    </row>
    <row r="49" spans="2:20">
      <c r="B49" s="16"/>
      <c r="C49" s="54">
        <f t="shared" ref="C49:C87" si="0">C48+1</f>
        <v>26</v>
      </c>
      <c r="D49" s="50">
        <f t="shared" ref="D49:D87" si="1">D48*(1+F$36)</f>
        <v>20800</v>
      </c>
      <c r="E49" s="50">
        <f t="shared" ref="E49:E87" si="2">IF(C49&lt;F$32,0,D49*F$34)</f>
        <v>0</v>
      </c>
      <c r="F49" s="50">
        <f t="shared" ref="F49:F87" si="3">E49*((1+$F$37)^0.5)</f>
        <v>0</v>
      </c>
      <c r="G49" s="50">
        <f>H48*(1+$F$37)</f>
        <v>0</v>
      </c>
      <c r="H49" s="50">
        <f t="shared" ref="H49:H87" si="4">F49+G49</f>
        <v>0</v>
      </c>
      <c r="I49" s="18"/>
      <c r="M49" s="16"/>
      <c r="N49" s="54">
        <f t="shared" ref="N49:N87" si="5">N48+1</f>
        <v>26</v>
      </c>
      <c r="O49" s="50">
        <f t="shared" ref="O49:O87" si="6">O48*(1+Q$36)</f>
        <v>20800</v>
      </c>
      <c r="P49" s="50">
        <f t="shared" ref="P49:P87" si="7">IF(N49&lt;Q$32,0,O49*Q$34)</f>
        <v>0</v>
      </c>
      <c r="Q49" s="50">
        <f t="shared" ref="Q49:Q87" si="8">P49*((1+$F$37)^0.5)</f>
        <v>0</v>
      </c>
      <c r="R49" s="50">
        <f>S48*(1+$F$37)</f>
        <v>0</v>
      </c>
      <c r="S49" s="50">
        <f t="shared" ref="S49:S87" si="9">Q49+R49</f>
        <v>0</v>
      </c>
      <c r="T49" s="18"/>
    </row>
    <row r="50" spans="2:20">
      <c r="B50" s="16"/>
      <c r="C50" s="54">
        <f t="shared" si="0"/>
        <v>27</v>
      </c>
      <c r="D50" s="50">
        <f t="shared" si="1"/>
        <v>21632</v>
      </c>
      <c r="E50" s="50">
        <f t="shared" si="2"/>
        <v>0</v>
      </c>
      <c r="F50" s="50">
        <f t="shared" si="3"/>
        <v>0</v>
      </c>
      <c r="G50" s="50">
        <f t="shared" ref="G50:G87" si="10">H49*(1+$F$37)</f>
        <v>0</v>
      </c>
      <c r="H50" s="50">
        <f t="shared" si="4"/>
        <v>0</v>
      </c>
      <c r="I50" s="18"/>
      <c r="M50" s="16"/>
      <c r="N50" s="54">
        <f t="shared" si="5"/>
        <v>27</v>
      </c>
      <c r="O50" s="50">
        <f t="shared" si="6"/>
        <v>21632</v>
      </c>
      <c r="P50" s="50">
        <f t="shared" si="7"/>
        <v>0</v>
      </c>
      <c r="Q50" s="50">
        <f t="shared" si="8"/>
        <v>0</v>
      </c>
      <c r="R50" s="50">
        <f t="shared" ref="R50:R87" si="11">S49*(1+$F$37)</f>
        <v>0</v>
      </c>
      <c r="S50" s="50">
        <f t="shared" si="9"/>
        <v>0</v>
      </c>
      <c r="T50" s="18"/>
    </row>
    <row r="51" spans="2:20">
      <c r="B51" s="16"/>
      <c r="C51" s="54">
        <f t="shared" si="0"/>
        <v>28</v>
      </c>
      <c r="D51" s="50">
        <f t="shared" si="1"/>
        <v>22497.280000000002</v>
      </c>
      <c r="E51" s="50">
        <f t="shared" si="2"/>
        <v>0</v>
      </c>
      <c r="F51" s="50">
        <f t="shared" si="3"/>
        <v>0</v>
      </c>
      <c r="G51" s="50">
        <f t="shared" si="10"/>
        <v>0</v>
      </c>
      <c r="H51" s="50">
        <f t="shared" si="4"/>
        <v>0</v>
      </c>
      <c r="I51" s="18"/>
      <c r="M51" s="16"/>
      <c r="N51" s="54">
        <f t="shared" si="5"/>
        <v>28</v>
      </c>
      <c r="O51" s="50">
        <f t="shared" si="6"/>
        <v>22497.280000000002</v>
      </c>
      <c r="P51" s="50">
        <f t="shared" si="7"/>
        <v>0</v>
      </c>
      <c r="Q51" s="50">
        <f t="shared" si="8"/>
        <v>0</v>
      </c>
      <c r="R51" s="50">
        <f t="shared" si="11"/>
        <v>0</v>
      </c>
      <c r="S51" s="50">
        <f t="shared" si="9"/>
        <v>0</v>
      </c>
      <c r="T51" s="18"/>
    </row>
    <row r="52" spans="2:20">
      <c r="B52" s="16"/>
      <c r="C52" s="54">
        <f t="shared" si="0"/>
        <v>29</v>
      </c>
      <c r="D52" s="50">
        <f t="shared" si="1"/>
        <v>23397.171200000004</v>
      </c>
      <c r="E52" s="50">
        <f t="shared" si="2"/>
        <v>0</v>
      </c>
      <c r="F52" s="50">
        <f t="shared" si="3"/>
        <v>0</v>
      </c>
      <c r="G52" s="50">
        <f t="shared" si="10"/>
        <v>0</v>
      </c>
      <c r="H52" s="50">
        <f t="shared" si="4"/>
        <v>0</v>
      </c>
      <c r="I52" s="18"/>
      <c r="M52" s="16"/>
      <c r="N52" s="54">
        <f t="shared" si="5"/>
        <v>29</v>
      </c>
      <c r="O52" s="50">
        <f t="shared" si="6"/>
        <v>23397.171200000004</v>
      </c>
      <c r="P52" s="50">
        <f t="shared" si="7"/>
        <v>0</v>
      </c>
      <c r="Q52" s="50">
        <f t="shared" si="8"/>
        <v>0</v>
      </c>
      <c r="R52" s="50">
        <f t="shared" si="11"/>
        <v>0</v>
      </c>
      <c r="S52" s="50">
        <f t="shared" si="9"/>
        <v>0</v>
      </c>
      <c r="T52" s="18"/>
    </row>
    <row r="53" spans="2:20">
      <c r="B53" s="16"/>
      <c r="C53" s="54">
        <f t="shared" si="0"/>
        <v>30</v>
      </c>
      <c r="D53" s="50">
        <f t="shared" si="1"/>
        <v>24333.058048000006</v>
      </c>
      <c r="E53" s="50">
        <f t="shared" si="2"/>
        <v>0</v>
      </c>
      <c r="F53" s="50">
        <f t="shared" si="3"/>
        <v>0</v>
      </c>
      <c r="G53" s="50">
        <f t="shared" si="10"/>
        <v>0</v>
      </c>
      <c r="H53" s="50">
        <f t="shared" si="4"/>
        <v>0</v>
      </c>
      <c r="I53" s="18"/>
      <c r="M53" s="16"/>
      <c r="N53" s="54">
        <f t="shared" si="5"/>
        <v>30</v>
      </c>
      <c r="O53" s="50">
        <f t="shared" si="6"/>
        <v>24333.058048000006</v>
      </c>
      <c r="P53" s="50">
        <f t="shared" si="7"/>
        <v>0</v>
      </c>
      <c r="Q53" s="50">
        <f t="shared" si="8"/>
        <v>0</v>
      </c>
      <c r="R53" s="50">
        <f t="shared" si="11"/>
        <v>0</v>
      </c>
      <c r="S53" s="50">
        <f t="shared" si="9"/>
        <v>0</v>
      </c>
      <c r="T53" s="18"/>
    </row>
    <row r="54" spans="2:20">
      <c r="B54" s="16"/>
      <c r="C54" s="54">
        <f t="shared" si="0"/>
        <v>31</v>
      </c>
      <c r="D54" s="50">
        <f t="shared" si="1"/>
        <v>25306.380369920007</v>
      </c>
      <c r="E54" s="50">
        <f t="shared" si="2"/>
        <v>0</v>
      </c>
      <c r="F54" s="50">
        <f t="shared" si="3"/>
        <v>0</v>
      </c>
      <c r="G54" s="50">
        <f t="shared" si="10"/>
        <v>0</v>
      </c>
      <c r="H54" s="50">
        <f t="shared" si="4"/>
        <v>0</v>
      </c>
      <c r="I54" s="18"/>
      <c r="M54" s="16"/>
      <c r="N54" s="54">
        <f t="shared" si="5"/>
        <v>31</v>
      </c>
      <c r="O54" s="50">
        <f t="shared" si="6"/>
        <v>25306.380369920007</v>
      </c>
      <c r="P54" s="50">
        <f t="shared" si="7"/>
        <v>0</v>
      </c>
      <c r="Q54" s="50">
        <f t="shared" si="8"/>
        <v>0</v>
      </c>
      <c r="R54" s="50">
        <f t="shared" si="11"/>
        <v>0</v>
      </c>
      <c r="S54" s="50">
        <f t="shared" si="9"/>
        <v>0</v>
      </c>
      <c r="T54" s="18"/>
    </row>
    <row r="55" spans="2:20">
      <c r="B55" s="16"/>
      <c r="C55" s="54">
        <f t="shared" si="0"/>
        <v>32</v>
      </c>
      <c r="D55" s="50">
        <f t="shared" si="1"/>
        <v>26318.635584716809</v>
      </c>
      <c r="E55" s="50">
        <f t="shared" si="2"/>
        <v>0</v>
      </c>
      <c r="F55" s="50">
        <f t="shared" si="3"/>
        <v>0</v>
      </c>
      <c r="G55" s="50">
        <f t="shared" si="10"/>
        <v>0</v>
      </c>
      <c r="H55" s="50">
        <f t="shared" si="4"/>
        <v>0</v>
      </c>
      <c r="I55" s="18"/>
      <c r="M55" s="16"/>
      <c r="N55" s="54">
        <f t="shared" si="5"/>
        <v>32</v>
      </c>
      <c r="O55" s="50">
        <f t="shared" si="6"/>
        <v>26318.635584716809</v>
      </c>
      <c r="P55" s="50">
        <f t="shared" si="7"/>
        <v>0</v>
      </c>
      <c r="Q55" s="50">
        <f t="shared" si="8"/>
        <v>0</v>
      </c>
      <c r="R55" s="50">
        <f t="shared" si="11"/>
        <v>0</v>
      </c>
      <c r="S55" s="50">
        <f t="shared" si="9"/>
        <v>0</v>
      </c>
      <c r="T55" s="18"/>
    </row>
    <row r="56" spans="2:20">
      <c r="B56" s="16"/>
      <c r="C56" s="54">
        <f t="shared" si="0"/>
        <v>33</v>
      </c>
      <c r="D56" s="50">
        <f t="shared" si="1"/>
        <v>27371.381008105483</v>
      </c>
      <c r="E56" s="50">
        <f t="shared" si="2"/>
        <v>0</v>
      </c>
      <c r="F56" s="50">
        <f t="shared" si="3"/>
        <v>0</v>
      </c>
      <c r="G56" s="50">
        <f t="shared" si="10"/>
        <v>0</v>
      </c>
      <c r="H56" s="50">
        <f t="shared" si="4"/>
        <v>0</v>
      </c>
      <c r="I56" s="18"/>
      <c r="M56" s="16"/>
      <c r="N56" s="54">
        <f t="shared" si="5"/>
        <v>33</v>
      </c>
      <c r="O56" s="50">
        <f t="shared" si="6"/>
        <v>27371.381008105483</v>
      </c>
      <c r="P56" s="50">
        <f t="shared" si="7"/>
        <v>0</v>
      </c>
      <c r="Q56" s="50">
        <f t="shared" si="8"/>
        <v>0</v>
      </c>
      <c r="R56" s="50">
        <f t="shared" si="11"/>
        <v>0</v>
      </c>
      <c r="S56" s="50">
        <f t="shared" si="9"/>
        <v>0</v>
      </c>
      <c r="T56" s="18"/>
    </row>
    <row r="57" spans="2:20">
      <c r="B57" s="16"/>
      <c r="C57" s="54">
        <f t="shared" si="0"/>
        <v>34</v>
      </c>
      <c r="D57" s="50">
        <f t="shared" si="1"/>
        <v>28466.236248429705</v>
      </c>
      <c r="E57" s="50">
        <f t="shared" si="2"/>
        <v>0</v>
      </c>
      <c r="F57" s="50">
        <f t="shared" si="3"/>
        <v>0</v>
      </c>
      <c r="G57" s="50">
        <f t="shared" si="10"/>
        <v>0</v>
      </c>
      <c r="H57" s="50">
        <f t="shared" si="4"/>
        <v>0</v>
      </c>
      <c r="I57" s="18"/>
      <c r="M57" s="16"/>
      <c r="N57" s="54">
        <f t="shared" si="5"/>
        <v>34</v>
      </c>
      <c r="O57" s="50">
        <f t="shared" si="6"/>
        <v>28466.236248429705</v>
      </c>
      <c r="P57" s="50">
        <f t="shared" si="7"/>
        <v>0</v>
      </c>
      <c r="Q57" s="50">
        <f t="shared" si="8"/>
        <v>0</v>
      </c>
      <c r="R57" s="50">
        <f t="shared" si="11"/>
        <v>0</v>
      </c>
      <c r="S57" s="50">
        <f t="shared" si="9"/>
        <v>0</v>
      </c>
      <c r="T57" s="18"/>
    </row>
    <row r="58" spans="2:20">
      <c r="B58" s="16"/>
      <c r="C58" s="54">
        <f t="shared" si="0"/>
        <v>35</v>
      </c>
      <c r="D58" s="50">
        <f t="shared" si="1"/>
        <v>29604.885698366892</v>
      </c>
      <c r="E58" s="50">
        <f t="shared" si="2"/>
        <v>3321.4649205082837</v>
      </c>
      <c r="F58" s="50">
        <f t="shared" si="3"/>
        <v>3403.4887511310299</v>
      </c>
      <c r="G58" s="50">
        <f t="shared" si="10"/>
        <v>0</v>
      </c>
      <c r="H58" s="50">
        <f t="shared" si="4"/>
        <v>3403.4887511310299</v>
      </c>
      <c r="I58" s="18"/>
      <c r="M58" s="16"/>
      <c r="N58" s="54">
        <f t="shared" si="5"/>
        <v>35</v>
      </c>
      <c r="O58" s="50">
        <f t="shared" si="6"/>
        <v>29604.885698366892</v>
      </c>
      <c r="P58" s="50">
        <f t="shared" si="7"/>
        <v>0</v>
      </c>
      <c r="Q58" s="50">
        <f t="shared" si="8"/>
        <v>0</v>
      </c>
      <c r="R58" s="50">
        <f t="shared" si="11"/>
        <v>0</v>
      </c>
      <c r="S58" s="50">
        <f t="shared" si="9"/>
        <v>0</v>
      </c>
      <c r="T58" s="18"/>
    </row>
    <row r="59" spans="2:20">
      <c r="B59" s="16"/>
      <c r="C59" s="54">
        <f t="shared" si="0"/>
        <v>36</v>
      </c>
      <c r="D59" s="50">
        <f t="shared" si="1"/>
        <v>30789.081126301568</v>
      </c>
      <c r="E59" s="50">
        <f t="shared" si="2"/>
        <v>3454.3235173286153</v>
      </c>
      <c r="F59" s="50">
        <f t="shared" si="3"/>
        <v>3539.6283011762712</v>
      </c>
      <c r="G59" s="50">
        <f t="shared" si="10"/>
        <v>3573.6631886875816</v>
      </c>
      <c r="H59" s="50">
        <f t="shared" si="4"/>
        <v>7113.2914898638528</v>
      </c>
      <c r="I59" s="18"/>
      <c r="M59" s="16"/>
      <c r="N59" s="54">
        <f t="shared" si="5"/>
        <v>36</v>
      </c>
      <c r="O59" s="50">
        <f t="shared" si="6"/>
        <v>30789.081126301568</v>
      </c>
      <c r="P59" s="50">
        <f t="shared" si="7"/>
        <v>0</v>
      </c>
      <c r="Q59" s="50">
        <f t="shared" si="8"/>
        <v>0</v>
      </c>
      <c r="R59" s="50">
        <f t="shared" si="11"/>
        <v>0</v>
      </c>
      <c r="S59" s="50">
        <f t="shared" si="9"/>
        <v>0</v>
      </c>
      <c r="T59" s="18"/>
    </row>
    <row r="60" spans="2:20">
      <c r="B60" s="16"/>
      <c r="C60" s="54">
        <f t="shared" si="0"/>
        <v>37</v>
      </c>
      <c r="D60" s="50">
        <f t="shared" si="1"/>
        <v>32020.644371353632</v>
      </c>
      <c r="E60" s="50">
        <f t="shared" si="2"/>
        <v>3592.4964580217597</v>
      </c>
      <c r="F60" s="50">
        <f t="shared" si="3"/>
        <v>3681.2134332233218</v>
      </c>
      <c r="G60" s="50">
        <f t="shared" si="10"/>
        <v>7468.9560643570458</v>
      </c>
      <c r="H60" s="50">
        <f t="shared" si="4"/>
        <v>11150.169497580368</v>
      </c>
      <c r="I60" s="18"/>
      <c r="M60" s="16"/>
      <c r="N60" s="54">
        <f t="shared" si="5"/>
        <v>37</v>
      </c>
      <c r="O60" s="50">
        <f t="shared" si="6"/>
        <v>32020.644371353632</v>
      </c>
      <c r="P60" s="50">
        <f t="shared" si="7"/>
        <v>0</v>
      </c>
      <c r="Q60" s="50">
        <f t="shared" si="8"/>
        <v>0</v>
      </c>
      <c r="R60" s="50">
        <f t="shared" si="11"/>
        <v>0</v>
      </c>
      <c r="S60" s="50">
        <f t="shared" si="9"/>
        <v>0</v>
      </c>
      <c r="T60" s="18"/>
    </row>
    <row r="61" spans="2:20">
      <c r="B61" s="16"/>
      <c r="C61" s="54">
        <f t="shared" si="0"/>
        <v>38</v>
      </c>
      <c r="D61" s="50">
        <f t="shared" si="1"/>
        <v>33301.470146207779</v>
      </c>
      <c r="E61" s="50">
        <f t="shared" si="2"/>
        <v>3736.1963163426303</v>
      </c>
      <c r="F61" s="50">
        <f t="shared" si="3"/>
        <v>3828.461970552255</v>
      </c>
      <c r="G61" s="50">
        <f t="shared" si="10"/>
        <v>11707.677972459387</v>
      </c>
      <c r="H61" s="50">
        <f t="shared" si="4"/>
        <v>15536.139943011642</v>
      </c>
      <c r="I61" s="18"/>
      <c r="M61" s="16"/>
      <c r="N61" s="54">
        <f t="shared" si="5"/>
        <v>38</v>
      </c>
      <c r="O61" s="50">
        <f t="shared" si="6"/>
        <v>33301.470146207779</v>
      </c>
      <c r="P61" s="50">
        <f t="shared" si="7"/>
        <v>0</v>
      </c>
      <c r="Q61" s="50">
        <f t="shared" si="8"/>
        <v>0</v>
      </c>
      <c r="R61" s="50">
        <f t="shared" si="11"/>
        <v>0</v>
      </c>
      <c r="S61" s="50">
        <f t="shared" si="9"/>
        <v>0</v>
      </c>
      <c r="T61" s="18"/>
    </row>
    <row r="62" spans="2:20">
      <c r="B62" s="16"/>
      <c r="C62" s="54">
        <f t="shared" si="0"/>
        <v>39</v>
      </c>
      <c r="D62" s="50">
        <f t="shared" si="1"/>
        <v>34633.528952056091</v>
      </c>
      <c r="E62" s="50">
        <f t="shared" si="2"/>
        <v>3885.6441689963358</v>
      </c>
      <c r="F62" s="50">
        <f t="shared" si="3"/>
        <v>3981.6004493743453</v>
      </c>
      <c r="G62" s="50">
        <f t="shared" si="10"/>
        <v>16312.946940162225</v>
      </c>
      <c r="H62" s="50">
        <f t="shared" si="4"/>
        <v>20294.547389536569</v>
      </c>
      <c r="I62" s="18"/>
      <c r="M62" s="16"/>
      <c r="N62" s="54">
        <f t="shared" si="5"/>
        <v>39</v>
      </c>
      <c r="O62" s="50">
        <f t="shared" si="6"/>
        <v>34633.528952056091</v>
      </c>
      <c r="P62" s="50">
        <f t="shared" si="7"/>
        <v>0</v>
      </c>
      <c r="Q62" s="50">
        <f t="shared" si="8"/>
        <v>0</v>
      </c>
      <c r="R62" s="50">
        <f t="shared" si="11"/>
        <v>0</v>
      </c>
      <c r="S62" s="50">
        <f t="shared" si="9"/>
        <v>0</v>
      </c>
      <c r="T62" s="18"/>
    </row>
    <row r="63" spans="2:20">
      <c r="B63" s="16"/>
      <c r="C63" s="54">
        <f t="shared" si="0"/>
        <v>40</v>
      </c>
      <c r="D63" s="50">
        <f t="shared" si="1"/>
        <v>36018.870110138334</v>
      </c>
      <c r="E63" s="50">
        <f t="shared" si="2"/>
        <v>4041.0699357561889</v>
      </c>
      <c r="F63" s="50">
        <f t="shared" si="3"/>
        <v>4140.8644673493191</v>
      </c>
      <c r="G63" s="50">
        <f t="shared" si="10"/>
        <v>21309.274759013399</v>
      </c>
      <c r="H63" s="50">
        <f t="shared" si="4"/>
        <v>25450.139226362717</v>
      </c>
      <c r="I63" s="18"/>
      <c r="M63" s="16"/>
      <c r="N63" s="54">
        <f t="shared" si="5"/>
        <v>40</v>
      </c>
      <c r="O63" s="50">
        <f t="shared" si="6"/>
        <v>36018.870110138334</v>
      </c>
      <c r="P63" s="50">
        <f t="shared" si="7"/>
        <v>0</v>
      </c>
      <c r="Q63" s="50">
        <f t="shared" si="8"/>
        <v>0</v>
      </c>
      <c r="R63" s="50">
        <f t="shared" si="11"/>
        <v>0</v>
      </c>
      <c r="S63" s="50">
        <f t="shared" si="9"/>
        <v>0</v>
      </c>
      <c r="T63" s="18"/>
    </row>
    <row r="64" spans="2:20">
      <c r="B64" s="16"/>
      <c r="C64" s="54">
        <f t="shared" si="0"/>
        <v>41</v>
      </c>
      <c r="D64" s="50">
        <f t="shared" si="1"/>
        <v>37459.624914543871</v>
      </c>
      <c r="E64" s="50">
        <f t="shared" si="2"/>
        <v>4202.7127331864367</v>
      </c>
      <c r="F64" s="50">
        <f t="shared" si="3"/>
        <v>4306.4990460432919</v>
      </c>
      <c r="G64" s="50">
        <f t="shared" si="10"/>
        <v>26722.646187680853</v>
      </c>
      <c r="H64" s="50">
        <f t="shared" si="4"/>
        <v>31029.145233724146</v>
      </c>
      <c r="I64" s="18"/>
      <c r="M64" s="16"/>
      <c r="N64" s="54">
        <f t="shared" si="5"/>
        <v>41</v>
      </c>
      <c r="O64" s="50">
        <f t="shared" si="6"/>
        <v>37459.624914543871</v>
      </c>
      <c r="P64" s="50">
        <f t="shared" si="7"/>
        <v>0</v>
      </c>
      <c r="Q64" s="50">
        <f t="shared" si="8"/>
        <v>0</v>
      </c>
      <c r="R64" s="50">
        <f t="shared" si="11"/>
        <v>0</v>
      </c>
      <c r="S64" s="50">
        <f t="shared" si="9"/>
        <v>0</v>
      </c>
      <c r="T64" s="18"/>
    </row>
    <row r="65" spans="2:20">
      <c r="B65" s="16"/>
      <c r="C65" s="54">
        <f t="shared" si="0"/>
        <v>42</v>
      </c>
      <c r="D65" s="50">
        <f t="shared" si="1"/>
        <v>38958.009911125628</v>
      </c>
      <c r="E65" s="50">
        <f t="shared" si="2"/>
        <v>4370.8212425138945</v>
      </c>
      <c r="F65" s="50">
        <f t="shared" si="3"/>
        <v>4478.7590078850235</v>
      </c>
      <c r="G65" s="50">
        <f t="shared" si="10"/>
        <v>32580.602495410356</v>
      </c>
      <c r="H65" s="50">
        <f t="shared" si="4"/>
        <v>37059.361503295382</v>
      </c>
      <c r="I65" s="18"/>
      <c r="M65" s="16"/>
      <c r="N65" s="54">
        <f t="shared" si="5"/>
        <v>42</v>
      </c>
      <c r="O65" s="50">
        <f t="shared" si="6"/>
        <v>38958.009911125628</v>
      </c>
      <c r="P65" s="50">
        <f t="shared" si="7"/>
        <v>0</v>
      </c>
      <c r="Q65" s="50">
        <f t="shared" si="8"/>
        <v>0</v>
      </c>
      <c r="R65" s="50">
        <f t="shared" si="11"/>
        <v>0</v>
      </c>
      <c r="S65" s="50">
        <f t="shared" si="9"/>
        <v>0</v>
      </c>
      <c r="T65" s="18"/>
    </row>
    <row r="66" spans="2:20">
      <c r="B66" s="16"/>
      <c r="C66" s="54">
        <f t="shared" si="0"/>
        <v>43</v>
      </c>
      <c r="D66" s="50">
        <f t="shared" si="1"/>
        <v>40516.330307570657</v>
      </c>
      <c r="E66" s="50">
        <f t="shared" si="2"/>
        <v>4545.6540922144513</v>
      </c>
      <c r="F66" s="50">
        <f t="shared" si="3"/>
        <v>4657.9093682004259</v>
      </c>
      <c r="G66" s="50">
        <f t="shared" si="10"/>
        <v>38912.329578460151</v>
      </c>
      <c r="H66" s="50">
        <f t="shared" si="4"/>
        <v>43570.238946660575</v>
      </c>
      <c r="I66" s="18"/>
      <c r="M66" s="16"/>
      <c r="N66" s="54">
        <f t="shared" si="5"/>
        <v>43</v>
      </c>
      <c r="O66" s="50">
        <f t="shared" si="6"/>
        <v>40516.330307570657</v>
      </c>
      <c r="P66" s="50">
        <f t="shared" si="7"/>
        <v>0</v>
      </c>
      <c r="Q66" s="50">
        <f t="shared" si="8"/>
        <v>0</v>
      </c>
      <c r="R66" s="50">
        <f t="shared" si="11"/>
        <v>0</v>
      </c>
      <c r="S66" s="50">
        <f t="shared" si="9"/>
        <v>0</v>
      </c>
      <c r="T66" s="18"/>
    </row>
    <row r="67" spans="2:20">
      <c r="B67" s="16"/>
      <c r="C67" s="54">
        <f t="shared" si="0"/>
        <v>44</v>
      </c>
      <c r="D67" s="50">
        <f t="shared" si="1"/>
        <v>42136.983519873487</v>
      </c>
      <c r="E67" s="50">
        <f t="shared" si="2"/>
        <v>4727.4802559030295</v>
      </c>
      <c r="F67" s="50">
        <f t="shared" si="3"/>
        <v>4844.2257429284427</v>
      </c>
      <c r="G67" s="50">
        <f t="shared" si="10"/>
        <v>45748.750893993609</v>
      </c>
      <c r="H67" s="50">
        <f t="shared" si="4"/>
        <v>50592.976636922052</v>
      </c>
      <c r="I67" s="18"/>
      <c r="M67" s="16"/>
      <c r="N67" s="54">
        <f t="shared" si="5"/>
        <v>44</v>
      </c>
      <c r="O67" s="50">
        <f t="shared" si="6"/>
        <v>42136.983519873487</v>
      </c>
      <c r="P67" s="50">
        <f t="shared" si="7"/>
        <v>0</v>
      </c>
      <c r="Q67" s="50">
        <f t="shared" si="8"/>
        <v>0</v>
      </c>
      <c r="R67" s="50">
        <f t="shared" si="11"/>
        <v>0</v>
      </c>
      <c r="S67" s="50">
        <f t="shared" si="9"/>
        <v>0</v>
      </c>
      <c r="T67" s="18"/>
    </row>
    <row r="68" spans="2:20">
      <c r="B68" s="16"/>
      <c r="C68" s="54">
        <f t="shared" si="0"/>
        <v>45</v>
      </c>
      <c r="D68" s="50">
        <f t="shared" si="1"/>
        <v>43822.462860668427</v>
      </c>
      <c r="E68" s="50">
        <f t="shared" si="2"/>
        <v>4916.579466139151</v>
      </c>
      <c r="F68" s="50">
        <f t="shared" si="3"/>
        <v>5037.9947726455812</v>
      </c>
      <c r="G68" s="50">
        <f t="shared" si="10"/>
        <v>53122.625468768158</v>
      </c>
      <c r="H68" s="50">
        <f t="shared" si="4"/>
        <v>58160.620241413737</v>
      </c>
      <c r="I68" s="18"/>
      <c r="M68" s="16"/>
      <c r="N68" s="54">
        <f t="shared" si="5"/>
        <v>45</v>
      </c>
      <c r="O68" s="50">
        <f t="shared" si="6"/>
        <v>43822.462860668427</v>
      </c>
      <c r="P68" s="50">
        <f t="shared" si="7"/>
        <v>7751.0733570845487</v>
      </c>
      <c r="Q68" s="50">
        <f t="shared" si="8"/>
        <v>7942.4867073386558</v>
      </c>
      <c r="R68" s="50">
        <f t="shared" si="11"/>
        <v>0</v>
      </c>
      <c r="S68" s="50">
        <f t="shared" si="9"/>
        <v>7942.4867073386558</v>
      </c>
      <c r="T68" s="18"/>
    </row>
    <row r="69" spans="2:20">
      <c r="B69" s="16"/>
      <c r="C69" s="54">
        <f t="shared" si="0"/>
        <v>46</v>
      </c>
      <c r="D69" s="50">
        <f t="shared" si="1"/>
        <v>45575.361375095163</v>
      </c>
      <c r="E69" s="50">
        <f t="shared" si="2"/>
        <v>5113.2426447847165</v>
      </c>
      <c r="F69" s="50">
        <f t="shared" si="3"/>
        <v>5239.5145635514036</v>
      </c>
      <c r="G69" s="50">
        <f t="shared" si="10"/>
        <v>61068.65125348443</v>
      </c>
      <c r="H69" s="50">
        <f t="shared" si="4"/>
        <v>66308.165817035828</v>
      </c>
      <c r="I69" s="18"/>
      <c r="M69" s="16"/>
      <c r="N69" s="54">
        <f t="shared" si="5"/>
        <v>46</v>
      </c>
      <c r="O69" s="50">
        <f t="shared" si="6"/>
        <v>45575.361375095163</v>
      </c>
      <c r="P69" s="50">
        <f t="shared" si="7"/>
        <v>8061.11629136793</v>
      </c>
      <c r="Q69" s="50">
        <f t="shared" si="8"/>
        <v>8260.1861756322014</v>
      </c>
      <c r="R69" s="50">
        <f t="shared" si="11"/>
        <v>8339.6110427055883</v>
      </c>
      <c r="S69" s="50">
        <f t="shared" si="9"/>
        <v>16599.79721833779</v>
      </c>
      <c r="T69" s="18"/>
    </row>
    <row r="70" spans="2:20">
      <c r="B70" s="16"/>
      <c r="C70" s="54">
        <f t="shared" si="0"/>
        <v>47</v>
      </c>
      <c r="D70" s="50">
        <f t="shared" si="1"/>
        <v>47398.375830098972</v>
      </c>
      <c r="E70" s="50">
        <f t="shared" si="2"/>
        <v>5317.772350576106</v>
      </c>
      <c r="F70" s="50">
        <f t="shared" si="3"/>
        <v>5449.0951460934612</v>
      </c>
      <c r="G70" s="50">
        <f t="shared" si="10"/>
        <v>69623.574107887616</v>
      </c>
      <c r="H70" s="50">
        <f t="shared" si="4"/>
        <v>75072.669253981076</v>
      </c>
      <c r="I70" s="18"/>
      <c r="M70" s="16"/>
      <c r="N70" s="54">
        <f t="shared" si="5"/>
        <v>47</v>
      </c>
      <c r="O70" s="50">
        <f t="shared" si="6"/>
        <v>47398.375830098972</v>
      </c>
      <c r="P70" s="50">
        <f t="shared" si="7"/>
        <v>8383.5609430226486</v>
      </c>
      <c r="Q70" s="50">
        <f t="shared" si="8"/>
        <v>8590.5936226574904</v>
      </c>
      <c r="R70" s="50">
        <f t="shared" si="11"/>
        <v>17429.787079254678</v>
      </c>
      <c r="S70" s="50">
        <f t="shared" si="9"/>
        <v>26020.380701912167</v>
      </c>
      <c r="T70" s="18"/>
    </row>
    <row r="71" spans="2:20">
      <c r="B71" s="16"/>
      <c r="C71" s="54">
        <f t="shared" si="0"/>
        <v>48</v>
      </c>
      <c r="D71" s="50">
        <f t="shared" si="1"/>
        <v>49294.310863302933</v>
      </c>
      <c r="E71" s="50">
        <f t="shared" si="2"/>
        <v>5530.4832445991497</v>
      </c>
      <c r="F71" s="50">
        <f t="shared" si="3"/>
        <v>5667.0589519371988</v>
      </c>
      <c r="G71" s="50">
        <f t="shared" si="10"/>
        <v>78826.302716680133</v>
      </c>
      <c r="H71" s="50">
        <f t="shared" si="4"/>
        <v>84493.361668617334</v>
      </c>
      <c r="I71" s="18"/>
      <c r="M71" s="16"/>
      <c r="N71" s="54">
        <f t="shared" si="5"/>
        <v>48</v>
      </c>
      <c r="O71" s="50">
        <f t="shared" si="6"/>
        <v>49294.310863302933</v>
      </c>
      <c r="P71" s="50">
        <f t="shared" si="7"/>
        <v>8718.9033807435535</v>
      </c>
      <c r="Q71" s="50">
        <f t="shared" si="8"/>
        <v>8934.2173675637896</v>
      </c>
      <c r="R71" s="50">
        <f t="shared" si="11"/>
        <v>27321.399737007778</v>
      </c>
      <c r="S71" s="50">
        <f t="shared" si="9"/>
        <v>36255.617104571567</v>
      </c>
      <c r="T71" s="18"/>
    </row>
    <row r="72" spans="2:20">
      <c r="B72" s="16"/>
      <c r="C72" s="54">
        <f t="shared" si="0"/>
        <v>49</v>
      </c>
      <c r="D72" s="50">
        <f t="shared" si="1"/>
        <v>51266.083297835052</v>
      </c>
      <c r="E72" s="50">
        <f t="shared" si="2"/>
        <v>5751.7025743831164</v>
      </c>
      <c r="F72" s="50">
        <f t="shared" si="3"/>
        <v>5893.7413100146878</v>
      </c>
      <c r="G72" s="50">
        <f t="shared" si="10"/>
        <v>88718.029752048198</v>
      </c>
      <c r="H72" s="50">
        <f t="shared" si="4"/>
        <v>94611.771062062879</v>
      </c>
      <c r="I72" s="18"/>
      <c r="M72" s="16"/>
      <c r="N72" s="54">
        <f t="shared" si="5"/>
        <v>49</v>
      </c>
      <c r="O72" s="50">
        <f t="shared" si="6"/>
        <v>51266.083297835052</v>
      </c>
      <c r="P72" s="50">
        <f t="shared" si="7"/>
        <v>9067.6595159732969</v>
      </c>
      <c r="Q72" s="50">
        <f t="shared" si="8"/>
        <v>9291.5860622663422</v>
      </c>
      <c r="R72" s="50">
        <f t="shared" si="11"/>
        <v>38068.397959800146</v>
      </c>
      <c r="S72" s="50">
        <f t="shared" si="9"/>
        <v>47359.984022066492</v>
      </c>
      <c r="T72" s="18"/>
    </row>
    <row r="73" spans="2:20">
      <c r="B73" s="16"/>
      <c r="C73" s="54">
        <f t="shared" si="0"/>
        <v>50</v>
      </c>
      <c r="D73" s="50">
        <f t="shared" si="1"/>
        <v>53316.726629748453</v>
      </c>
      <c r="E73" s="50">
        <f t="shared" si="2"/>
        <v>5981.7706773584405</v>
      </c>
      <c r="F73" s="50">
        <f t="shared" si="3"/>
        <v>6129.4909624152742</v>
      </c>
      <c r="G73" s="50">
        <f t="shared" si="10"/>
        <v>99342.359615166031</v>
      </c>
      <c r="H73" s="50">
        <f t="shared" si="4"/>
        <v>105471.85057758131</v>
      </c>
      <c r="I73" s="18"/>
      <c r="M73" s="16"/>
      <c r="N73" s="54">
        <f t="shared" si="5"/>
        <v>50</v>
      </c>
      <c r="O73" s="50">
        <f t="shared" si="6"/>
        <v>53316.726629748453</v>
      </c>
      <c r="P73" s="50">
        <f t="shared" si="7"/>
        <v>9430.3658966122275</v>
      </c>
      <c r="Q73" s="50">
        <f t="shared" si="8"/>
        <v>9663.2495047569955</v>
      </c>
      <c r="R73" s="50">
        <f t="shared" si="11"/>
        <v>49727.983223169816</v>
      </c>
      <c r="S73" s="50">
        <f t="shared" si="9"/>
        <v>59391.232727926814</v>
      </c>
      <c r="T73" s="18"/>
    </row>
    <row r="74" spans="2:20">
      <c r="B74" s="16"/>
      <c r="C74" s="54">
        <f t="shared" si="0"/>
        <v>51</v>
      </c>
      <c r="D74" s="50">
        <f t="shared" si="1"/>
        <v>55449.395694938394</v>
      </c>
      <c r="E74" s="50">
        <f t="shared" si="2"/>
        <v>6221.041504452779</v>
      </c>
      <c r="F74" s="50">
        <f t="shared" si="3"/>
        <v>6374.6706009118861</v>
      </c>
      <c r="G74" s="50">
        <f t="shared" si="10"/>
        <v>110745.44310646039</v>
      </c>
      <c r="H74" s="50">
        <f t="shared" si="4"/>
        <v>117120.11370737228</v>
      </c>
      <c r="I74" s="18"/>
      <c r="M74" s="16"/>
      <c r="N74" s="54">
        <f t="shared" si="5"/>
        <v>51</v>
      </c>
      <c r="O74" s="50">
        <f t="shared" si="6"/>
        <v>55449.395694938394</v>
      </c>
      <c r="P74" s="50">
        <f t="shared" si="7"/>
        <v>9807.5805324767171</v>
      </c>
      <c r="Q74" s="50">
        <f t="shared" si="8"/>
        <v>10049.779484947276</v>
      </c>
      <c r="R74" s="50">
        <f t="shared" si="11"/>
        <v>62360.794364323156</v>
      </c>
      <c r="S74" s="50">
        <f t="shared" si="9"/>
        <v>72410.573849270426</v>
      </c>
      <c r="T74" s="18"/>
    </row>
    <row r="75" spans="2:20">
      <c r="B75" s="16"/>
      <c r="C75" s="54">
        <f t="shared" si="0"/>
        <v>52</v>
      </c>
      <c r="D75" s="50">
        <f t="shared" si="1"/>
        <v>57667.371522735928</v>
      </c>
      <c r="E75" s="50">
        <f t="shared" si="2"/>
        <v>6469.88316463089</v>
      </c>
      <c r="F75" s="50">
        <f t="shared" si="3"/>
        <v>6629.657424948361</v>
      </c>
      <c r="G75" s="50">
        <f t="shared" si="10"/>
        <v>122976.1193927409</v>
      </c>
      <c r="H75" s="50">
        <f t="shared" si="4"/>
        <v>129605.77681768927</v>
      </c>
      <c r="I75" s="18"/>
      <c r="M75" s="16"/>
      <c r="N75" s="54">
        <f t="shared" si="5"/>
        <v>52</v>
      </c>
      <c r="O75" s="50">
        <f t="shared" si="6"/>
        <v>57667.371522735928</v>
      </c>
      <c r="P75" s="50">
        <f t="shared" si="7"/>
        <v>10199.883753775786</v>
      </c>
      <c r="Q75" s="50">
        <f t="shared" si="8"/>
        <v>10451.770664345167</v>
      </c>
      <c r="R75" s="50">
        <f t="shared" si="11"/>
        <v>76031.102541733955</v>
      </c>
      <c r="S75" s="50">
        <f t="shared" si="9"/>
        <v>86482.873206079123</v>
      </c>
      <c r="T75" s="18"/>
    </row>
    <row r="76" spans="2:20">
      <c r="B76" s="16"/>
      <c r="C76" s="54">
        <f t="shared" si="0"/>
        <v>53</v>
      </c>
      <c r="D76" s="50">
        <f t="shared" si="1"/>
        <v>59974.066383645368</v>
      </c>
      <c r="E76" s="50">
        <f t="shared" si="2"/>
        <v>6728.6784912161256</v>
      </c>
      <c r="F76" s="50">
        <f t="shared" si="3"/>
        <v>6894.8437219462958</v>
      </c>
      <c r="G76" s="50">
        <f t="shared" si="10"/>
        <v>136086.06565857373</v>
      </c>
      <c r="H76" s="50">
        <f t="shared" si="4"/>
        <v>142980.90938052002</v>
      </c>
      <c r="I76" s="18"/>
      <c r="M76" s="16"/>
      <c r="N76" s="54">
        <f t="shared" si="5"/>
        <v>53</v>
      </c>
      <c r="O76" s="50">
        <f t="shared" si="6"/>
        <v>59974.066383645368</v>
      </c>
      <c r="P76" s="50">
        <f t="shared" si="7"/>
        <v>10607.879103926818</v>
      </c>
      <c r="Q76" s="50">
        <f t="shared" si="8"/>
        <v>10869.841490918974</v>
      </c>
      <c r="R76" s="50">
        <f t="shared" si="11"/>
        <v>90807.016866383085</v>
      </c>
      <c r="S76" s="50">
        <f t="shared" si="9"/>
        <v>101676.85835730206</v>
      </c>
      <c r="T76" s="18"/>
    </row>
    <row r="77" spans="2:20">
      <c r="B77" s="16"/>
      <c r="C77" s="54">
        <f t="shared" si="0"/>
        <v>54</v>
      </c>
      <c r="D77" s="50">
        <f t="shared" si="1"/>
        <v>62373.029038991182</v>
      </c>
      <c r="E77" s="50">
        <f t="shared" si="2"/>
        <v>6997.8256308647706</v>
      </c>
      <c r="F77" s="50">
        <f t="shared" si="3"/>
        <v>7170.6374708241474</v>
      </c>
      <c r="G77" s="50">
        <f t="shared" si="10"/>
        <v>150129.95484954602</v>
      </c>
      <c r="H77" s="50">
        <f t="shared" si="4"/>
        <v>157300.59232037017</v>
      </c>
      <c r="I77" s="18"/>
      <c r="M77" s="16"/>
      <c r="N77" s="54">
        <f t="shared" si="5"/>
        <v>54</v>
      </c>
      <c r="O77" s="50">
        <f t="shared" si="6"/>
        <v>62373.029038991182</v>
      </c>
      <c r="P77" s="50">
        <f t="shared" si="7"/>
        <v>11032.194268083891</v>
      </c>
      <c r="Q77" s="50">
        <f t="shared" si="8"/>
        <v>11304.635150555732</v>
      </c>
      <c r="R77" s="50">
        <f t="shared" si="11"/>
        <v>106760.70127516717</v>
      </c>
      <c r="S77" s="50">
        <f t="shared" si="9"/>
        <v>118065.3364257229</v>
      </c>
      <c r="T77" s="18"/>
    </row>
    <row r="78" spans="2:20">
      <c r="B78" s="16"/>
      <c r="C78" s="54">
        <f t="shared" si="0"/>
        <v>55</v>
      </c>
      <c r="D78" s="50">
        <f t="shared" si="1"/>
        <v>64867.950200550833</v>
      </c>
      <c r="E78" s="50">
        <f t="shared" si="2"/>
        <v>7277.7386560993618</v>
      </c>
      <c r="F78" s="50">
        <f t="shared" si="3"/>
        <v>7457.4629696571137</v>
      </c>
      <c r="G78" s="50">
        <f t="shared" si="10"/>
        <v>165165.62193638869</v>
      </c>
      <c r="H78" s="50">
        <f t="shared" si="4"/>
        <v>172623.08490604581</v>
      </c>
      <c r="I78" s="18"/>
      <c r="M78" s="16"/>
      <c r="N78" s="54">
        <f t="shared" si="5"/>
        <v>55</v>
      </c>
      <c r="O78" s="50">
        <f t="shared" si="6"/>
        <v>64867.950200550833</v>
      </c>
      <c r="P78" s="50">
        <f t="shared" si="7"/>
        <v>11473.482038807248</v>
      </c>
      <c r="Q78" s="50">
        <f t="shared" si="8"/>
        <v>11756.820556577963</v>
      </c>
      <c r="R78" s="50">
        <f t="shared" si="11"/>
        <v>123968.60324700904</v>
      </c>
      <c r="S78" s="50">
        <f t="shared" si="9"/>
        <v>135725.42380358701</v>
      </c>
      <c r="T78" s="18"/>
    </row>
    <row r="79" spans="2:20">
      <c r="B79" s="16"/>
      <c r="C79" s="54">
        <f t="shared" si="0"/>
        <v>56</v>
      </c>
      <c r="D79" s="50">
        <f t="shared" si="1"/>
        <v>67462.668208572868</v>
      </c>
      <c r="E79" s="50">
        <f t="shared" si="2"/>
        <v>7568.8482023433362</v>
      </c>
      <c r="F79" s="50">
        <f t="shared" si="3"/>
        <v>7755.7614884433988</v>
      </c>
      <c r="G79" s="50">
        <f t="shared" si="10"/>
        <v>181254.2391513481</v>
      </c>
      <c r="H79" s="50">
        <f t="shared" si="4"/>
        <v>189010.00063979148</v>
      </c>
      <c r="I79" s="18"/>
      <c r="M79" s="16"/>
      <c r="N79" s="54">
        <f t="shared" si="5"/>
        <v>56</v>
      </c>
      <c r="O79" s="50">
        <f t="shared" si="6"/>
        <v>67462.668208572868</v>
      </c>
      <c r="P79" s="50">
        <f t="shared" si="7"/>
        <v>11932.421320359537</v>
      </c>
      <c r="Q79" s="50">
        <f t="shared" si="8"/>
        <v>12227.093378841082</v>
      </c>
      <c r="R79" s="50">
        <f t="shared" si="11"/>
        <v>142511.69499376637</v>
      </c>
      <c r="S79" s="50">
        <f t="shared" si="9"/>
        <v>154738.78837260747</v>
      </c>
      <c r="T79" s="18"/>
    </row>
    <row r="80" spans="2:20">
      <c r="B80" s="16"/>
      <c r="C80" s="54">
        <f t="shared" si="0"/>
        <v>57</v>
      </c>
      <c r="D80" s="50">
        <f t="shared" si="1"/>
        <v>70161.174936915791</v>
      </c>
      <c r="E80" s="50">
        <f t="shared" si="2"/>
        <v>7871.6021304370706</v>
      </c>
      <c r="F80" s="50">
        <f t="shared" si="3"/>
        <v>8065.9919479811351</v>
      </c>
      <c r="G80" s="50">
        <f t="shared" si="10"/>
        <v>198460.50067178108</v>
      </c>
      <c r="H80" s="50">
        <f t="shared" si="4"/>
        <v>206526.4926197622</v>
      </c>
      <c r="I80" s="18"/>
      <c r="M80" s="16"/>
      <c r="N80" s="54">
        <f t="shared" si="5"/>
        <v>57</v>
      </c>
      <c r="O80" s="50">
        <f t="shared" si="6"/>
        <v>70161.174936915791</v>
      </c>
      <c r="P80" s="50">
        <f t="shared" si="7"/>
        <v>12409.71817317392</v>
      </c>
      <c r="Q80" s="50">
        <f t="shared" si="8"/>
        <v>12716.177113994727</v>
      </c>
      <c r="R80" s="50">
        <f t="shared" si="11"/>
        <v>162475.72779123785</v>
      </c>
      <c r="S80" s="50">
        <f t="shared" si="9"/>
        <v>175191.90490523257</v>
      </c>
      <c r="T80" s="18"/>
    </row>
    <row r="81" spans="2:20">
      <c r="B81" s="16"/>
      <c r="C81" s="54">
        <f t="shared" si="0"/>
        <v>58</v>
      </c>
      <c r="D81" s="50">
        <f t="shared" si="1"/>
        <v>72967.621934392431</v>
      </c>
      <c r="E81" s="50">
        <f t="shared" si="2"/>
        <v>8186.4662156545546</v>
      </c>
      <c r="F81" s="50">
        <f t="shared" si="3"/>
        <v>8388.6316259003816</v>
      </c>
      <c r="G81" s="50">
        <f t="shared" si="10"/>
        <v>216852.81725075032</v>
      </c>
      <c r="H81" s="50">
        <f t="shared" si="4"/>
        <v>225241.44887665071</v>
      </c>
      <c r="I81" s="18"/>
      <c r="M81" s="16"/>
      <c r="N81" s="54">
        <f t="shared" si="5"/>
        <v>58</v>
      </c>
      <c r="O81" s="50">
        <f t="shared" si="6"/>
        <v>72967.621934392431</v>
      </c>
      <c r="P81" s="50">
        <f t="shared" si="7"/>
        <v>12906.106900100878</v>
      </c>
      <c r="Q81" s="50">
        <f t="shared" si="8"/>
        <v>13224.824198554516</v>
      </c>
      <c r="R81" s="50">
        <f t="shared" si="11"/>
        <v>183951.50015049422</v>
      </c>
      <c r="S81" s="50">
        <f t="shared" si="9"/>
        <v>197176.32434904872</v>
      </c>
      <c r="T81" s="18"/>
    </row>
    <row r="82" spans="2:20">
      <c r="B82" s="16"/>
      <c r="C82" s="54">
        <f t="shared" si="0"/>
        <v>59</v>
      </c>
      <c r="D82" s="50">
        <f t="shared" si="1"/>
        <v>75886.326811768129</v>
      </c>
      <c r="E82" s="50">
        <f t="shared" si="2"/>
        <v>8513.9248642807361</v>
      </c>
      <c r="F82" s="50">
        <f t="shared" si="3"/>
        <v>8724.1768909363964</v>
      </c>
      <c r="G82" s="50">
        <f t="shared" si="10"/>
        <v>236503.52132048327</v>
      </c>
      <c r="H82" s="50">
        <f t="shared" si="4"/>
        <v>245227.69821141966</v>
      </c>
      <c r="I82" s="18"/>
      <c r="M82" s="16"/>
      <c r="N82" s="54">
        <f t="shared" si="5"/>
        <v>59</v>
      </c>
      <c r="O82" s="50">
        <f t="shared" si="6"/>
        <v>75886.326811768129</v>
      </c>
      <c r="P82" s="50">
        <f t="shared" si="7"/>
        <v>13422.351176104914</v>
      </c>
      <c r="Q82" s="50">
        <f t="shared" si="8"/>
        <v>13753.817166496698</v>
      </c>
      <c r="R82" s="50">
        <f t="shared" si="11"/>
        <v>207035.14056650116</v>
      </c>
      <c r="S82" s="50">
        <f t="shared" si="9"/>
        <v>220788.95773299786</v>
      </c>
      <c r="T82" s="18"/>
    </row>
    <row r="83" spans="2:20">
      <c r="B83" s="16"/>
      <c r="C83" s="54">
        <f t="shared" si="0"/>
        <v>60</v>
      </c>
      <c r="D83" s="50">
        <f t="shared" si="1"/>
        <v>78921.779884238858</v>
      </c>
      <c r="E83" s="50">
        <f t="shared" si="2"/>
        <v>8854.4818588519665</v>
      </c>
      <c r="F83" s="50">
        <f t="shared" si="3"/>
        <v>9073.1439665738544</v>
      </c>
      <c r="G83" s="50">
        <f t="shared" si="10"/>
        <v>257489.08312199064</v>
      </c>
      <c r="H83" s="50">
        <f t="shared" si="4"/>
        <v>266562.22708856448</v>
      </c>
      <c r="I83" s="18"/>
      <c r="M83" s="16"/>
      <c r="N83" s="54">
        <f t="shared" si="5"/>
        <v>60</v>
      </c>
      <c r="O83" s="50">
        <f t="shared" si="6"/>
        <v>78921.779884238858</v>
      </c>
      <c r="P83" s="50">
        <f t="shared" si="7"/>
        <v>13959.245223149112</v>
      </c>
      <c r="Q83" s="50">
        <f t="shared" si="8"/>
        <v>14303.969853156566</v>
      </c>
      <c r="R83" s="50">
        <f t="shared" si="11"/>
        <v>231828.40561964776</v>
      </c>
      <c r="S83" s="50">
        <f t="shared" si="9"/>
        <v>246132.37547280433</v>
      </c>
      <c r="T83" s="18"/>
    </row>
    <row r="84" spans="2:20">
      <c r="B84" s="16"/>
      <c r="C84" s="54">
        <f t="shared" si="0"/>
        <v>61</v>
      </c>
      <c r="D84" s="50">
        <f t="shared" si="1"/>
        <v>82078.651079608419</v>
      </c>
      <c r="E84" s="50">
        <f t="shared" si="2"/>
        <v>9208.6611332060456</v>
      </c>
      <c r="F84" s="50">
        <f t="shared" si="3"/>
        <v>9436.0697252368082</v>
      </c>
      <c r="G84" s="50">
        <f t="shared" si="10"/>
        <v>279890.33844299271</v>
      </c>
      <c r="H84" s="50">
        <f t="shared" si="4"/>
        <v>289326.40816822951</v>
      </c>
      <c r="I84" s="18"/>
      <c r="M84" s="16"/>
      <c r="N84" s="54">
        <f t="shared" si="5"/>
        <v>61</v>
      </c>
      <c r="O84" s="50">
        <f t="shared" si="6"/>
        <v>82078.651079608419</v>
      </c>
      <c r="P84" s="50">
        <f t="shared" si="7"/>
        <v>14517.615032075077</v>
      </c>
      <c r="Q84" s="50">
        <f t="shared" si="8"/>
        <v>14876.128647282831</v>
      </c>
      <c r="R84" s="50">
        <f t="shared" si="11"/>
        <v>258438.99424644455</v>
      </c>
      <c r="S84" s="50">
        <f t="shared" si="9"/>
        <v>273315.12289372738</v>
      </c>
      <c r="T84" s="18"/>
    </row>
    <row r="85" spans="2:20">
      <c r="B85" s="16"/>
      <c r="C85" s="54">
        <f t="shared" si="0"/>
        <v>62</v>
      </c>
      <c r="D85" s="50">
        <f t="shared" si="1"/>
        <v>85361.797122792763</v>
      </c>
      <c r="E85" s="50">
        <f t="shared" si="2"/>
        <v>9577.0075785342888</v>
      </c>
      <c r="F85" s="50">
        <f t="shared" si="3"/>
        <v>9813.5125142462821</v>
      </c>
      <c r="G85" s="50">
        <f t="shared" si="10"/>
        <v>303792.72857664101</v>
      </c>
      <c r="H85" s="50">
        <f t="shared" si="4"/>
        <v>313606.24109088728</v>
      </c>
      <c r="I85" s="18"/>
      <c r="M85" s="16"/>
      <c r="N85" s="54">
        <f t="shared" si="5"/>
        <v>62</v>
      </c>
      <c r="O85" s="50">
        <f t="shared" si="6"/>
        <v>85361.797122792763</v>
      </c>
      <c r="P85" s="50">
        <f t="shared" si="7"/>
        <v>15098.319633358082</v>
      </c>
      <c r="Q85" s="50">
        <f t="shared" si="8"/>
        <v>15471.173793174145</v>
      </c>
      <c r="R85" s="50">
        <f t="shared" si="11"/>
        <v>286980.87903841375</v>
      </c>
      <c r="S85" s="50">
        <f t="shared" si="9"/>
        <v>302452.05283158791</v>
      </c>
      <c r="T85" s="18"/>
    </row>
    <row r="86" spans="2:20">
      <c r="B86" s="16"/>
      <c r="C86" s="54">
        <f t="shared" si="0"/>
        <v>63</v>
      </c>
      <c r="D86" s="50">
        <f t="shared" si="1"/>
        <v>88776.269007704483</v>
      </c>
      <c r="E86" s="50">
        <f t="shared" si="2"/>
        <v>9960.0878816756613</v>
      </c>
      <c r="F86" s="50">
        <f t="shared" si="3"/>
        <v>10206.053014816134</v>
      </c>
      <c r="G86" s="50">
        <f t="shared" si="10"/>
        <v>329286.55314543168</v>
      </c>
      <c r="H86" s="50">
        <f t="shared" si="4"/>
        <v>339492.60616024781</v>
      </c>
      <c r="I86" s="18"/>
      <c r="M86" s="16"/>
      <c r="N86" s="54">
        <f t="shared" si="5"/>
        <v>63</v>
      </c>
      <c r="O86" s="50">
        <f t="shared" si="6"/>
        <v>88776.269007704483</v>
      </c>
      <c r="P86" s="50">
        <f t="shared" si="7"/>
        <v>15702.252418692406</v>
      </c>
      <c r="Q86" s="50">
        <f t="shared" si="8"/>
        <v>16090.020744901112</v>
      </c>
      <c r="R86" s="50">
        <f t="shared" si="11"/>
        <v>317574.65547316731</v>
      </c>
      <c r="S86" s="50">
        <f t="shared" si="9"/>
        <v>333664.6762180684</v>
      </c>
      <c r="T86" s="18"/>
    </row>
    <row r="87" spans="2:20">
      <c r="B87" s="16"/>
      <c r="C87" s="54">
        <f t="shared" si="0"/>
        <v>64</v>
      </c>
      <c r="D87" s="50">
        <f t="shared" si="1"/>
        <v>92327.319768012661</v>
      </c>
      <c r="E87" s="50">
        <f t="shared" si="2"/>
        <v>10358.491396942687</v>
      </c>
      <c r="F87" s="50">
        <f t="shared" si="3"/>
        <v>10614.295135408778</v>
      </c>
      <c r="G87" s="50">
        <f t="shared" si="10"/>
        <v>356467.23646826023</v>
      </c>
      <c r="H87" s="50">
        <f t="shared" si="4"/>
        <v>367081.53160366899</v>
      </c>
      <c r="I87" s="18"/>
      <c r="M87" s="16"/>
      <c r="N87" s="54">
        <f t="shared" si="5"/>
        <v>64</v>
      </c>
      <c r="O87" s="50">
        <f t="shared" si="6"/>
        <v>92327.319768012661</v>
      </c>
      <c r="P87" s="50">
        <f t="shared" si="7"/>
        <v>16330.342515440103</v>
      </c>
      <c r="Q87" s="50">
        <f t="shared" si="8"/>
        <v>16733.621574697157</v>
      </c>
      <c r="R87" s="50">
        <f t="shared" si="11"/>
        <v>350347.91002897185</v>
      </c>
      <c r="S87" s="50">
        <f t="shared" si="9"/>
        <v>367081.53160366899</v>
      </c>
      <c r="T87" s="18"/>
    </row>
    <row r="88" spans="2:20">
      <c r="B88" s="20"/>
      <c r="C88" s="35"/>
      <c r="D88" s="35"/>
      <c r="E88" s="35"/>
      <c r="F88" s="35"/>
      <c r="G88" s="35"/>
      <c r="H88" s="35"/>
      <c r="I88" s="21"/>
      <c r="M88" s="20"/>
      <c r="N88" s="35"/>
      <c r="O88" s="35"/>
      <c r="P88" s="35"/>
      <c r="Q88" s="35"/>
      <c r="R88" s="35"/>
      <c r="S88" s="35"/>
      <c r="T88"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Audit trail</vt:lpstr>
      <vt:lpstr>parameters</vt:lpstr>
      <vt:lpstr>Base Scenario Fund Calcs</vt:lpstr>
      <vt:lpstr>Fund Calcs by Investment Return</vt:lpstr>
      <vt:lpstr>Fund Calcs by Cont Start Age</vt:lpstr>
      <vt:lpstr>Summary and charts</vt:lpstr>
      <vt:lpstr>Checks</vt:lpstr>
      <vt:lpstr>ContRate</vt:lpstr>
      <vt:lpstr>ContStartAge</vt:lpstr>
      <vt:lpstr>ContStartAgew</vt:lpstr>
      <vt:lpstr>CurrentAge</vt:lpstr>
      <vt:lpstr>InvRet</vt:lpstr>
      <vt:lpstr>PriceInf</vt:lpstr>
      <vt:lpstr>RetirementAge</vt:lpstr>
      <vt:lpstr>SalInc</vt:lpstr>
      <vt:lpstr>StartSal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dc:creator>
  <cp:lastModifiedBy>Coralie2</cp:lastModifiedBy>
  <dcterms:created xsi:type="dcterms:W3CDTF">2015-01-11T14:29:46Z</dcterms:created>
  <dcterms:modified xsi:type="dcterms:W3CDTF">2015-07-02T13:19:21Z</dcterms:modified>
</cp:coreProperties>
</file>