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 activeTab="5"/>
  </bookViews>
  <sheets>
    <sheet name="Data" sheetId="1" r:id="rId1"/>
    <sheet name="Data Statistics" sheetId="2" r:id="rId2"/>
    <sheet name="Parameters" sheetId="3" r:id="rId3"/>
    <sheet name="NPV Calculations" sheetId="4" r:id="rId4"/>
    <sheet name="IRR Calculations" sheetId="5" r:id="rId5"/>
    <sheet name="Results" sheetId="6" r:id="rId6"/>
  </sheets>
  <definedNames>
    <definedName name="disc_A">Parameters!$D$11</definedName>
    <definedName name="disc_B">Parameters!$E$11</definedName>
    <definedName name="disc_c">Parameters!$F$11</definedName>
    <definedName name="int_A">Parameters!$D$9</definedName>
    <definedName name="int_B">Parameters!$E$9</definedName>
    <definedName name="int_C">Parameters!$F$9</definedName>
    <definedName name="loan_A">Parameters!$D$5</definedName>
    <definedName name="loan_B">Parameters!$E$5</definedName>
    <definedName name="loan_c">Parameters!$F$5</definedName>
    <definedName name="prob_default">Parameters!$D$14</definedName>
    <definedName name="term_A">Parameters!$D$7</definedName>
    <definedName name="term_B">Parameters!$E$7</definedName>
    <definedName name="term_C">Parameters!$F$7</definedName>
  </definedNames>
  <calcPr calcId="145621"/>
</workbook>
</file>

<file path=xl/calcChain.xml><?xml version="1.0" encoding="utf-8"?>
<calcChain xmlns="http://schemas.openxmlformats.org/spreadsheetml/2006/main">
  <c r="F44" i="4" l="1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I31" i="2" l="1"/>
  <c r="I29" i="2"/>
  <c r="I28" i="2"/>
  <c r="E30" i="2"/>
  <c r="E29" i="2"/>
  <c r="E28" i="2"/>
  <c r="O4" i="5" l="1"/>
  <c r="N4" i="5"/>
  <c r="M4" i="5"/>
  <c r="S44" i="4"/>
  <c r="R44" i="4"/>
  <c r="Q44" i="4"/>
  <c r="S43" i="4"/>
  <c r="R43" i="4"/>
  <c r="Q43" i="4"/>
  <c r="S42" i="4"/>
  <c r="R42" i="4"/>
  <c r="Q42" i="4"/>
  <c r="S41" i="4"/>
  <c r="R41" i="4"/>
  <c r="Q41" i="4"/>
  <c r="S40" i="4"/>
  <c r="R40" i="4"/>
  <c r="Q40" i="4"/>
  <c r="S39" i="4"/>
  <c r="R39" i="4"/>
  <c r="Q39" i="4"/>
  <c r="S38" i="4"/>
  <c r="R38" i="4"/>
  <c r="Q38" i="4"/>
  <c r="S37" i="4"/>
  <c r="R37" i="4"/>
  <c r="Q37" i="4"/>
  <c r="S36" i="4"/>
  <c r="R36" i="4"/>
  <c r="Q36" i="4"/>
  <c r="S35" i="4"/>
  <c r="R35" i="4"/>
  <c r="Q35" i="4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  <c r="S16" i="4"/>
  <c r="R16" i="4"/>
  <c r="Q16" i="4"/>
  <c r="S15" i="4"/>
  <c r="R15" i="4"/>
  <c r="Q15" i="4"/>
  <c r="S14" i="4"/>
  <c r="R14" i="4"/>
  <c r="Q14" i="4"/>
  <c r="S13" i="4"/>
  <c r="R13" i="4"/>
  <c r="Q13" i="4"/>
  <c r="S12" i="4"/>
  <c r="R12" i="4"/>
  <c r="Q12" i="4"/>
  <c r="S11" i="4"/>
  <c r="R11" i="4"/>
  <c r="Q11" i="4"/>
  <c r="S10" i="4"/>
  <c r="R10" i="4"/>
  <c r="Q10" i="4"/>
  <c r="F46" i="4"/>
  <c r="F47" i="4" s="1"/>
  <c r="E46" i="4"/>
  <c r="D46" i="4"/>
  <c r="E47" i="4" l="1"/>
  <c r="G10" i="6"/>
  <c r="G9" i="6"/>
  <c r="G8" i="6"/>
  <c r="E10" i="6"/>
  <c r="E9" i="6"/>
  <c r="E8" i="6"/>
  <c r="D10" i="6"/>
  <c r="D9" i="6"/>
  <c r="D8" i="6"/>
  <c r="I44" i="5"/>
  <c r="H44" i="5"/>
  <c r="G44" i="5"/>
  <c r="I43" i="5"/>
  <c r="H43" i="5"/>
  <c r="G43" i="5"/>
  <c r="I42" i="5"/>
  <c r="H42" i="5"/>
  <c r="G42" i="5"/>
  <c r="I41" i="5"/>
  <c r="H41" i="5"/>
  <c r="G41" i="5"/>
  <c r="I40" i="5"/>
  <c r="H40" i="5"/>
  <c r="G40" i="5"/>
  <c r="I39" i="5"/>
  <c r="H39" i="5"/>
  <c r="G39" i="5"/>
  <c r="I38" i="5"/>
  <c r="H38" i="5"/>
  <c r="G38" i="5"/>
  <c r="I37" i="5"/>
  <c r="H37" i="5"/>
  <c r="G37" i="5"/>
  <c r="I36" i="5"/>
  <c r="H36" i="5"/>
  <c r="G36" i="5"/>
  <c r="I35" i="5"/>
  <c r="H35" i="5"/>
  <c r="G35" i="5"/>
  <c r="I34" i="5"/>
  <c r="H34" i="5"/>
  <c r="G34" i="5"/>
  <c r="I33" i="5"/>
  <c r="H33" i="5"/>
  <c r="G33" i="5"/>
  <c r="I32" i="5"/>
  <c r="H32" i="5"/>
  <c r="G32" i="5"/>
  <c r="I31" i="5"/>
  <c r="H31" i="5"/>
  <c r="K31" i="5" s="1"/>
  <c r="G31" i="5"/>
  <c r="I30" i="5"/>
  <c r="H30" i="5"/>
  <c r="G30" i="5"/>
  <c r="I29" i="5"/>
  <c r="H29" i="5"/>
  <c r="G29" i="5"/>
  <c r="I28" i="5"/>
  <c r="H28" i="5"/>
  <c r="G28" i="5"/>
  <c r="I27" i="5"/>
  <c r="H27" i="5"/>
  <c r="K27" i="5" s="1"/>
  <c r="G27" i="5"/>
  <c r="I26" i="5"/>
  <c r="H26" i="5"/>
  <c r="G26" i="5"/>
  <c r="I25" i="5"/>
  <c r="H25" i="5"/>
  <c r="G25" i="5"/>
  <c r="I24" i="5"/>
  <c r="H24" i="5"/>
  <c r="G24" i="5"/>
  <c r="I23" i="5"/>
  <c r="H23" i="5"/>
  <c r="G23" i="5"/>
  <c r="I22" i="5"/>
  <c r="H22" i="5"/>
  <c r="G22" i="5"/>
  <c r="I21" i="5"/>
  <c r="H21" i="5"/>
  <c r="G21" i="5"/>
  <c r="I20" i="5"/>
  <c r="H20" i="5"/>
  <c r="G20" i="5"/>
  <c r="I19" i="5"/>
  <c r="H19" i="5"/>
  <c r="G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I9" i="5"/>
  <c r="H9" i="5"/>
  <c r="K9" i="5" s="1"/>
  <c r="G9" i="5"/>
  <c r="F44" i="5"/>
  <c r="E44" i="5"/>
  <c r="D44" i="5"/>
  <c r="F43" i="5"/>
  <c r="E43" i="5"/>
  <c r="D43" i="5"/>
  <c r="F42" i="5"/>
  <c r="L42" i="5" s="1"/>
  <c r="E42" i="5"/>
  <c r="K42" i="5" s="1"/>
  <c r="D42" i="5"/>
  <c r="F41" i="5"/>
  <c r="E41" i="5"/>
  <c r="K41" i="5" s="1"/>
  <c r="D41" i="5"/>
  <c r="F40" i="5"/>
  <c r="E40" i="5"/>
  <c r="D40" i="5"/>
  <c r="F39" i="5"/>
  <c r="E39" i="5"/>
  <c r="K39" i="5" s="1"/>
  <c r="D39" i="5"/>
  <c r="F38" i="5"/>
  <c r="L38" i="5" s="1"/>
  <c r="E38" i="5"/>
  <c r="K38" i="5" s="1"/>
  <c r="D38" i="5"/>
  <c r="J38" i="5" s="1"/>
  <c r="F37" i="5"/>
  <c r="E37" i="5"/>
  <c r="D37" i="5"/>
  <c r="J37" i="5" s="1"/>
  <c r="F36" i="5"/>
  <c r="E36" i="5"/>
  <c r="D36" i="5"/>
  <c r="J36" i="5" s="1"/>
  <c r="F35" i="5"/>
  <c r="E35" i="5"/>
  <c r="D35" i="5"/>
  <c r="F34" i="5"/>
  <c r="E34" i="5"/>
  <c r="K34" i="5" s="1"/>
  <c r="D34" i="5"/>
  <c r="F33" i="5"/>
  <c r="E33" i="5"/>
  <c r="K33" i="5" s="1"/>
  <c r="D33" i="5"/>
  <c r="F32" i="5"/>
  <c r="L32" i="5" s="1"/>
  <c r="E32" i="5"/>
  <c r="K32" i="5" s="1"/>
  <c r="D32" i="5"/>
  <c r="J32" i="5" s="1"/>
  <c r="F31" i="5"/>
  <c r="E31" i="5"/>
  <c r="D31" i="5"/>
  <c r="F30" i="5"/>
  <c r="L30" i="5" s="1"/>
  <c r="E30" i="5"/>
  <c r="D30" i="5"/>
  <c r="F29" i="5"/>
  <c r="E29" i="5"/>
  <c r="K29" i="5" s="1"/>
  <c r="D29" i="5"/>
  <c r="J29" i="5" s="1"/>
  <c r="F28" i="5"/>
  <c r="E28" i="5"/>
  <c r="K28" i="5" s="1"/>
  <c r="D28" i="5"/>
  <c r="F27" i="5"/>
  <c r="E27" i="5"/>
  <c r="D27" i="5"/>
  <c r="F26" i="5"/>
  <c r="L26" i="5" s="1"/>
  <c r="E26" i="5"/>
  <c r="D26" i="5"/>
  <c r="F25" i="5"/>
  <c r="E25" i="5"/>
  <c r="K25" i="5" s="1"/>
  <c r="D25" i="5"/>
  <c r="F24" i="5"/>
  <c r="E24" i="5"/>
  <c r="K24" i="5" s="1"/>
  <c r="D24" i="5"/>
  <c r="F23" i="5"/>
  <c r="L23" i="5" s="1"/>
  <c r="E23" i="5"/>
  <c r="K23" i="5" s="1"/>
  <c r="D23" i="5"/>
  <c r="F22" i="5"/>
  <c r="L22" i="5" s="1"/>
  <c r="E22" i="5"/>
  <c r="D22" i="5"/>
  <c r="J22" i="5" s="1"/>
  <c r="F21" i="5"/>
  <c r="E21" i="5"/>
  <c r="K21" i="5" s="1"/>
  <c r="D21" i="5"/>
  <c r="F20" i="5"/>
  <c r="E20" i="5"/>
  <c r="D20" i="5"/>
  <c r="F19" i="5"/>
  <c r="L19" i="5" s="1"/>
  <c r="E19" i="5"/>
  <c r="D19" i="5"/>
  <c r="F18" i="5"/>
  <c r="E18" i="5"/>
  <c r="D18" i="5"/>
  <c r="F17" i="5"/>
  <c r="E17" i="5"/>
  <c r="K17" i="5" s="1"/>
  <c r="D17" i="5"/>
  <c r="J17" i="5" s="1"/>
  <c r="F16" i="5"/>
  <c r="E16" i="5"/>
  <c r="K16" i="5" s="1"/>
  <c r="D16" i="5"/>
  <c r="J16" i="5" s="1"/>
  <c r="F15" i="5"/>
  <c r="E15" i="5"/>
  <c r="D15" i="5"/>
  <c r="F14" i="5"/>
  <c r="L14" i="5" s="1"/>
  <c r="E14" i="5"/>
  <c r="D14" i="5"/>
  <c r="F13" i="5"/>
  <c r="E13" i="5"/>
  <c r="K13" i="5" s="1"/>
  <c r="D13" i="5"/>
  <c r="F12" i="5"/>
  <c r="E12" i="5"/>
  <c r="K12" i="5" s="1"/>
  <c r="D12" i="5"/>
  <c r="J12" i="5" s="1"/>
  <c r="F11" i="5"/>
  <c r="E11" i="5"/>
  <c r="D11" i="5"/>
  <c r="F10" i="5"/>
  <c r="E10" i="5"/>
  <c r="K10" i="5" s="1"/>
  <c r="D10" i="5"/>
  <c r="F9" i="5"/>
  <c r="E9" i="5"/>
  <c r="D9" i="5"/>
  <c r="J9" i="5" s="1"/>
  <c r="L44" i="5"/>
  <c r="L41" i="5"/>
  <c r="L34" i="5"/>
  <c r="J30" i="5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F6" i="4"/>
  <c r="E6" i="4"/>
  <c r="D6" i="4"/>
  <c r="F5" i="4"/>
  <c r="E5" i="4"/>
  <c r="D5" i="4"/>
  <c r="F4" i="4"/>
  <c r="E4" i="4"/>
  <c r="D4" i="4"/>
  <c r="F3" i="4"/>
  <c r="E3" i="4"/>
  <c r="D3" i="4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O9" i="2"/>
  <c r="M12" i="2"/>
  <c r="L12" i="2"/>
  <c r="M11" i="2"/>
  <c r="L11" i="2"/>
  <c r="M9" i="2"/>
  <c r="M8" i="2"/>
  <c r="M7" i="2"/>
  <c r="L9" i="2"/>
  <c r="L8" i="2"/>
  <c r="L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G33" i="1"/>
  <c r="F33" i="1"/>
  <c r="E33" i="1"/>
  <c r="G32" i="1"/>
  <c r="F32" i="1"/>
  <c r="E32" i="1"/>
  <c r="D33" i="1"/>
  <c r="D32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29" i="1"/>
  <c r="G29" i="1"/>
  <c r="F29" i="1"/>
  <c r="E29" i="1"/>
  <c r="D29" i="1"/>
  <c r="C29" i="1"/>
  <c r="H27" i="1"/>
  <c r="G27" i="1"/>
  <c r="F27" i="1"/>
  <c r="E27" i="1"/>
  <c r="D27" i="1"/>
  <c r="C27" i="1"/>
  <c r="L16" i="5" l="1"/>
  <c r="J25" i="5"/>
  <c r="J11" i="5"/>
  <c r="J15" i="5"/>
  <c r="K20" i="5"/>
  <c r="L21" i="5"/>
  <c r="J23" i="5"/>
  <c r="L25" i="5"/>
  <c r="J31" i="5"/>
  <c r="L33" i="5"/>
  <c r="L37" i="5"/>
  <c r="J39" i="5"/>
  <c r="K40" i="5"/>
  <c r="J43" i="5"/>
  <c r="K44" i="5"/>
  <c r="J10" i="5"/>
  <c r="K11" i="5"/>
  <c r="J18" i="5"/>
  <c r="K19" i="5"/>
  <c r="L20" i="5"/>
  <c r="J26" i="5"/>
  <c r="L28" i="5"/>
  <c r="J34" i="5"/>
  <c r="L36" i="5"/>
  <c r="L40" i="5"/>
  <c r="N9" i="4"/>
  <c r="O9" i="4"/>
  <c r="D19" i="6" s="1"/>
  <c r="L11" i="5"/>
  <c r="J13" i="5"/>
  <c r="K14" i="5"/>
  <c r="L15" i="5"/>
  <c r="K18" i="5"/>
  <c r="J21" i="5"/>
  <c r="K22" i="5"/>
  <c r="K26" i="5"/>
  <c r="L27" i="5"/>
  <c r="K30" i="5"/>
  <c r="L31" i="5"/>
  <c r="J33" i="5"/>
  <c r="L35" i="5"/>
  <c r="L39" i="5"/>
  <c r="J41" i="5"/>
  <c r="L43" i="5"/>
  <c r="J24" i="5"/>
  <c r="K37" i="5"/>
  <c r="F10" i="6"/>
  <c r="D18" i="6"/>
  <c r="F9" i="6"/>
  <c r="L12" i="5"/>
  <c r="J14" i="5"/>
  <c r="K15" i="5"/>
  <c r="L24" i="5"/>
  <c r="K35" i="5"/>
  <c r="J42" i="5"/>
  <c r="K43" i="5"/>
  <c r="D46" i="5"/>
  <c r="D47" i="5" s="1"/>
  <c r="E46" i="5"/>
  <c r="E47" i="5" s="1"/>
  <c r="L10" i="5"/>
  <c r="L18" i="5"/>
  <c r="J20" i="5"/>
  <c r="J28" i="5"/>
  <c r="J40" i="5"/>
  <c r="M9" i="4"/>
  <c r="D17" i="6" s="1"/>
  <c r="L9" i="5"/>
  <c r="F46" i="5"/>
  <c r="F47" i="5" s="1"/>
  <c r="L17" i="5"/>
  <c r="J27" i="5"/>
  <c r="K36" i="5"/>
  <c r="L13" i="5"/>
  <c r="J19" i="5"/>
  <c r="L29" i="5"/>
  <c r="J35" i="5"/>
  <c r="J44" i="5"/>
  <c r="F8" i="6" l="1"/>
  <c r="N9" i="5"/>
  <c r="R9" i="5" s="1"/>
  <c r="M9" i="5"/>
  <c r="Q9" i="5" s="1"/>
  <c r="O9" i="5"/>
  <c r="S9" i="5" s="1"/>
</calcChain>
</file>

<file path=xl/sharedStrings.xml><?xml version="1.0" encoding="utf-8"?>
<sst xmlns="http://schemas.openxmlformats.org/spreadsheetml/2006/main" count="209" uniqueCount="85">
  <si>
    <t>Original loan amount</t>
  </si>
  <si>
    <t>Loan outstanding</t>
  </si>
  <si>
    <t>Original term (years)</t>
  </si>
  <si>
    <t>Term to maturity (years)</t>
  </si>
  <si>
    <t>Currency</t>
  </si>
  <si>
    <t>Loan 1</t>
  </si>
  <si>
    <t>GBP</t>
  </si>
  <si>
    <t>Loan 2</t>
  </si>
  <si>
    <t>Loan 3</t>
  </si>
  <si>
    <t>Loan 4</t>
  </si>
  <si>
    <t>Loan 5</t>
  </si>
  <si>
    <t>Loan 6</t>
  </si>
  <si>
    <t>Loan 7</t>
  </si>
  <si>
    <t>Loan 8</t>
  </si>
  <si>
    <t>USD</t>
  </si>
  <si>
    <t>Loan 9</t>
  </si>
  <si>
    <t>Loan 10</t>
  </si>
  <si>
    <t>Loan 11</t>
  </si>
  <si>
    <t>Loan 12</t>
  </si>
  <si>
    <t>Loan 13</t>
  </si>
  <si>
    <t>Loan 14</t>
  </si>
  <si>
    <t>Loan 15</t>
  </si>
  <si>
    <t>Loan 16</t>
  </si>
  <si>
    <t>Loan 17</t>
  </si>
  <si>
    <t>Loan 18</t>
  </si>
  <si>
    <t>Loan 19</t>
  </si>
  <si>
    <t>Loan 20</t>
  </si>
  <si>
    <t>Count</t>
  </si>
  <si>
    <t>Expected</t>
  </si>
  <si>
    <t>Check</t>
  </si>
  <si>
    <t>Loan outstanding &lt; original loan</t>
  </si>
  <si>
    <t>Term outstanding &lt; original term</t>
  </si>
  <si>
    <t>Valid currency</t>
  </si>
  <si>
    <t>Max</t>
  </si>
  <si>
    <t>Min</t>
  </si>
  <si>
    <t>All of these values look reasonable. There are no negative values, as expected.</t>
  </si>
  <si>
    <t>Mean</t>
  </si>
  <si>
    <t>Original data</t>
  </si>
  <si>
    <t>Sorted data</t>
  </si>
  <si>
    <t>Checks</t>
  </si>
  <si>
    <t>Mean over all loans</t>
  </si>
  <si>
    <t>This is closer to the GBP average, which seems reasonable as there are more GBP loans</t>
  </si>
  <si>
    <t>Loan amount</t>
  </si>
  <si>
    <t>Term</t>
  </si>
  <si>
    <t>Discount rate</t>
  </si>
  <si>
    <t>Interest rate</t>
  </si>
  <si>
    <t>Company A</t>
  </si>
  <si>
    <t>Company B</t>
  </si>
  <si>
    <t>Company C</t>
  </si>
  <si>
    <t>Colour coding key</t>
  </si>
  <si>
    <t>Calculations</t>
  </si>
  <si>
    <t>User inputs</t>
  </si>
  <si>
    <t>Headings</t>
  </si>
  <si>
    <t>disc_A</t>
  </si>
  <si>
    <t>int_A</t>
  </si>
  <si>
    <t>term_A</t>
  </si>
  <si>
    <t>loan_A</t>
  </si>
  <si>
    <t>loan_B</t>
  </si>
  <si>
    <t>term_B</t>
  </si>
  <si>
    <t>int_B</t>
  </si>
  <si>
    <t>disc_B</t>
  </si>
  <si>
    <t>loan_C</t>
  </si>
  <si>
    <t>term_C</t>
  </si>
  <si>
    <t>int_C</t>
  </si>
  <si>
    <t>disc_C</t>
  </si>
  <si>
    <t>Note that manual intervention has been used here - see audit trail</t>
  </si>
  <si>
    <t>Hardcoded data</t>
  </si>
  <si>
    <t>Cashflow</t>
  </si>
  <si>
    <t>Discount factor</t>
  </si>
  <si>
    <t>PV Cashflow</t>
  </si>
  <si>
    <t>NPV</t>
  </si>
  <si>
    <t>Year</t>
  </si>
  <si>
    <t>IRR</t>
  </si>
  <si>
    <t>Table of results</t>
  </si>
  <si>
    <t>Interest Rate</t>
  </si>
  <si>
    <t xml:space="preserve">Named ranges for each parameter are shown in grey </t>
  </si>
  <si>
    <t>Discount factor checks</t>
  </si>
  <si>
    <t>As the NPV using the prescribed discount rate is positive, we would expect the IRR to be higher than the discount rate</t>
  </si>
  <si>
    <t>NPV Checks</t>
  </si>
  <si>
    <t>Goalseek used here - NPV set to zero by changing IRR. (An alternative approach would be trial and error.)</t>
  </si>
  <si>
    <t>Total</t>
  </si>
  <si>
    <t>20 loans in total, as expected</t>
  </si>
  <si>
    <t>NPV ($)</t>
  </si>
  <si>
    <t>prob_default</t>
  </si>
  <si>
    <t>Probability of default t&gt;0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</si>
</sst>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7" borderId="0" xfId="0" applyFill="1"/>
    <xf numFmtId="0" fontId="0" fillId="0" borderId="0" xfId="0" applyAlignment="1">
      <alignment horizontal="left"/>
    </xf>
    <xf numFmtId="3" fontId="0" fillId="7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0" fontId="0" fillId="7" borderId="0" xfId="1" applyNumberFormat="1" applyFont="1" applyFill="1" applyAlignment="1">
      <alignment horizontal="center"/>
    </xf>
    <xf numFmtId="0" fontId="3" fillId="0" borderId="0" xfId="0" applyFon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1" xfId="1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0" borderId="0" xfId="0" applyFill="1"/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Loan Summary Statistics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Statistics'!$K$7</c:f>
              <c:strCache>
                <c:ptCount val="1"/>
                <c:pt idx="0">
                  <c:v>Max</c:v>
                </c:pt>
              </c:strCache>
            </c:strRef>
          </c:tx>
          <c:invertIfNegative val="0"/>
          <c:cat>
            <c:strRef>
              <c:f>'Data Statistics'!$L$6:$M$6</c:f>
              <c:strCache>
                <c:ptCount val="2"/>
                <c:pt idx="0">
                  <c:v>USD</c:v>
                </c:pt>
                <c:pt idx="1">
                  <c:v>GBP</c:v>
                </c:pt>
              </c:strCache>
            </c:strRef>
          </c:cat>
          <c:val>
            <c:numRef>
              <c:f>'Data Statistics'!$L$7:$M$7</c:f>
              <c:numCache>
                <c:formatCode>#,##0</c:formatCode>
                <c:ptCount val="2"/>
                <c:pt idx="0">
                  <c:v>286100</c:v>
                </c:pt>
                <c:pt idx="1">
                  <c:v>500000</c:v>
                </c:pt>
              </c:numCache>
            </c:numRef>
          </c:val>
        </c:ser>
        <c:ser>
          <c:idx val="1"/>
          <c:order val="1"/>
          <c:tx>
            <c:strRef>
              <c:f>'Data Statistics'!$K$8</c:f>
              <c:strCache>
                <c:ptCount val="1"/>
                <c:pt idx="0">
                  <c:v>Min</c:v>
                </c:pt>
              </c:strCache>
            </c:strRef>
          </c:tx>
          <c:invertIfNegative val="0"/>
          <c:cat>
            <c:strRef>
              <c:f>'Data Statistics'!$L$6:$M$6</c:f>
              <c:strCache>
                <c:ptCount val="2"/>
                <c:pt idx="0">
                  <c:v>USD</c:v>
                </c:pt>
                <c:pt idx="1">
                  <c:v>GBP</c:v>
                </c:pt>
              </c:strCache>
            </c:strRef>
          </c:cat>
          <c:val>
            <c:numRef>
              <c:f>'Data Statistics'!$L$8:$M$8</c:f>
              <c:numCache>
                <c:formatCode>#,##0</c:formatCode>
                <c:ptCount val="2"/>
                <c:pt idx="0">
                  <c:v>74000</c:v>
                </c:pt>
                <c:pt idx="1">
                  <c:v>65000</c:v>
                </c:pt>
              </c:numCache>
            </c:numRef>
          </c:val>
        </c:ser>
        <c:ser>
          <c:idx val="2"/>
          <c:order val="2"/>
          <c:tx>
            <c:strRef>
              <c:f>'Data Statistics'!$K$9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'Data Statistics'!$L$6:$M$6</c:f>
              <c:strCache>
                <c:ptCount val="2"/>
                <c:pt idx="0">
                  <c:v>USD</c:v>
                </c:pt>
                <c:pt idx="1">
                  <c:v>GBP</c:v>
                </c:pt>
              </c:strCache>
            </c:strRef>
          </c:cat>
          <c:val>
            <c:numRef>
              <c:f>'Data Statistics'!$L$9:$M$9</c:f>
              <c:numCache>
                <c:formatCode>#,##0</c:formatCode>
                <c:ptCount val="2"/>
                <c:pt idx="0">
                  <c:v>151080</c:v>
                </c:pt>
                <c:pt idx="1">
                  <c:v>290400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38912"/>
        <c:axId val="156845184"/>
      </c:barChart>
      <c:catAx>
        <c:axId val="15683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Loan Currency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6845184"/>
        <c:crosses val="autoZero"/>
        <c:auto val="1"/>
        <c:lblAlgn val="ctr"/>
        <c:lblOffset val="100"/>
        <c:noMultiLvlLbl val="0"/>
      </c:catAx>
      <c:valAx>
        <c:axId val="156845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Loan Amount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56838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NPV of $250,000 loan to each Company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Results!$C$17:$C$19</c:f>
              <c:strCache>
                <c:ptCount val="3"/>
                <c:pt idx="0">
                  <c:v>Company A</c:v>
                </c:pt>
                <c:pt idx="1">
                  <c:v>Company B</c:v>
                </c:pt>
                <c:pt idx="2">
                  <c:v>Company C</c:v>
                </c:pt>
              </c:strCache>
            </c:strRef>
          </c:cat>
          <c:val>
            <c:numRef>
              <c:f>Results!$D$17:$D$19</c:f>
              <c:numCache>
                <c:formatCode>#,##0</c:formatCode>
                <c:ptCount val="3"/>
                <c:pt idx="0">
                  <c:v>32059.087151758198</c:v>
                </c:pt>
                <c:pt idx="1">
                  <c:v>67483.760643422254</c:v>
                </c:pt>
                <c:pt idx="2">
                  <c:v>102824.22492768813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18816"/>
        <c:axId val="158420352"/>
      </c:barChart>
      <c:catAx>
        <c:axId val="15841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8420352"/>
        <c:crosses val="autoZero"/>
        <c:auto val="1"/>
        <c:lblAlgn val="ctr"/>
        <c:lblOffset val="100"/>
        <c:noMultiLvlLbl val="0"/>
      </c:catAx>
      <c:valAx>
        <c:axId val="158420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NPV (USD)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5841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14</xdr:row>
      <xdr:rowOff>190499</xdr:rowOff>
    </xdr:from>
    <xdr:to>
      <xdr:col>17</xdr:col>
      <xdr:colOff>291353</xdr:colOff>
      <xdr:row>31</xdr:row>
      <xdr:rowOff>44824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12</xdr:col>
      <xdr:colOff>336176</xdr:colOff>
      <xdr:row>30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zoomScale="85" zoomScaleNormal="85" workbookViewId="0">
      <selection activeCell="L2" sqref="L2:L3"/>
    </sheetView>
  </sheetViews>
  <sheetFormatPr defaultRowHeight="15" x14ac:dyDescent="0.25"/>
  <cols>
    <col min="4" max="4" width="21.140625" bestFit="1" customWidth="1"/>
    <col min="5" max="5" width="17.28515625" bestFit="1" customWidth="1"/>
    <col min="6" max="6" width="20.28515625" bestFit="1" customWidth="1"/>
    <col min="7" max="7" width="23.28515625" bestFit="1" customWidth="1"/>
    <col min="8" max="8" width="8.85546875" bestFit="1" customWidth="1"/>
    <col min="10" max="10" width="31.85546875" bestFit="1" customWidth="1"/>
    <col min="11" max="11" width="32.140625" bestFit="1" customWidth="1"/>
    <col min="12" max="12" width="14.140625" bestFit="1" customWidth="1"/>
  </cols>
  <sheetData>
    <row r="2" spans="3:12" x14ac:dyDescent="0.25">
      <c r="L2" s="14" t="s">
        <v>14</v>
      </c>
    </row>
    <row r="3" spans="3:12" x14ac:dyDescent="0.25">
      <c r="L3" s="14" t="s">
        <v>6</v>
      </c>
    </row>
    <row r="5" spans="3:12" x14ac:dyDescent="0.25">
      <c r="C5" s="20"/>
      <c r="D5" s="17" t="s">
        <v>0</v>
      </c>
      <c r="E5" s="17" t="s">
        <v>1</v>
      </c>
      <c r="F5" s="17" t="s">
        <v>2</v>
      </c>
      <c r="G5" s="17" t="s">
        <v>3</v>
      </c>
      <c r="H5" s="17" t="s">
        <v>4</v>
      </c>
      <c r="J5" s="10" t="s">
        <v>30</v>
      </c>
      <c r="K5" s="10" t="s">
        <v>31</v>
      </c>
      <c r="L5" s="10" t="s">
        <v>32</v>
      </c>
    </row>
    <row r="6" spans="3:12" x14ac:dyDescent="0.25">
      <c r="C6" s="20" t="s">
        <v>5</v>
      </c>
      <c r="D6" s="22">
        <v>309000</v>
      </c>
      <c r="E6" s="22">
        <v>22000</v>
      </c>
      <c r="F6" s="17">
        <v>30</v>
      </c>
      <c r="G6" s="34">
        <v>2.1666666666666665</v>
      </c>
      <c r="H6" s="17" t="s">
        <v>6</v>
      </c>
      <c r="J6" s="18" t="str">
        <f>IF(E6&lt;D6,"OK","Check")</f>
        <v>OK</v>
      </c>
      <c r="K6" s="18" t="str">
        <f>IF(G6&lt;F6,"OK","Check")</f>
        <v>OK</v>
      </c>
      <c r="L6" s="18" t="str">
        <f>IF(OR(H6=$L$2,H6=$L$3),"OK","Check")</f>
        <v>OK</v>
      </c>
    </row>
    <row r="7" spans="3:12" x14ac:dyDescent="0.25">
      <c r="C7" s="20" t="s">
        <v>7</v>
      </c>
      <c r="D7" s="22">
        <v>367000</v>
      </c>
      <c r="E7" s="22">
        <v>103000</v>
      </c>
      <c r="F7" s="17">
        <v>30</v>
      </c>
      <c r="G7" s="34">
        <v>8.4166666666666661</v>
      </c>
      <c r="H7" s="17" t="s">
        <v>6</v>
      </c>
      <c r="J7" s="18" t="str">
        <f t="shared" ref="J7:J25" si="0">IF(E7&lt;D7,"OK","Check")</f>
        <v>OK</v>
      </c>
      <c r="K7" s="18" t="str">
        <f t="shared" ref="K7:K25" si="1">IF(G7&lt;F7,"OK","Check")</f>
        <v>OK</v>
      </c>
      <c r="L7" s="18" t="str">
        <f t="shared" ref="L7:L25" si="2">IF(OR(H7=$L$2,H7=$L$3),"OK","Check")</f>
        <v>OK</v>
      </c>
    </row>
    <row r="8" spans="3:12" x14ac:dyDescent="0.25">
      <c r="C8" s="20" t="s">
        <v>8</v>
      </c>
      <c r="D8" s="22">
        <v>100000</v>
      </c>
      <c r="E8" s="22">
        <v>18900</v>
      </c>
      <c r="F8" s="17">
        <v>25</v>
      </c>
      <c r="G8" s="34">
        <v>4.75</v>
      </c>
      <c r="H8" s="17" t="s">
        <v>6</v>
      </c>
      <c r="J8" s="18" t="str">
        <f t="shared" si="0"/>
        <v>OK</v>
      </c>
      <c r="K8" s="18" t="str">
        <f t="shared" si="1"/>
        <v>OK</v>
      </c>
      <c r="L8" s="18" t="str">
        <f t="shared" si="2"/>
        <v>OK</v>
      </c>
    </row>
    <row r="9" spans="3:12" x14ac:dyDescent="0.25">
      <c r="C9" s="20" t="s">
        <v>9</v>
      </c>
      <c r="D9" s="22">
        <v>500000</v>
      </c>
      <c r="E9" s="22">
        <v>266400</v>
      </c>
      <c r="F9" s="17">
        <v>40</v>
      </c>
      <c r="G9" s="34">
        <v>21.333333333333332</v>
      </c>
      <c r="H9" s="17" t="s">
        <v>6</v>
      </c>
      <c r="J9" s="18" t="str">
        <f t="shared" si="0"/>
        <v>OK</v>
      </c>
      <c r="K9" s="18" t="str">
        <f t="shared" si="1"/>
        <v>OK</v>
      </c>
      <c r="L9" s="18" t="str">
        <f t="shared" si="2"/>
        <v>OK</v>
      </c>
    </row>
    <row r="10" spans="3:12" x14ac:dyDescent="0.25">
      <c r="C10" s="20" t="s">
        <v>10</v>
      </c>
      <c r="D10" s="22">
        <v>410500</v>
      </c>
      <c r="E10" s="22">
        <v>119500</v>
      </c>
      <c r="F10" s="17">
        <v>25</v>
      </c>
      <c r="G10" s="34">
        <v>7.25</v>
      </c>
      <c r="H10" s="17" t="s">
        <v>6</v>
      </c>
      <c r="J10" s="18" t="str">
        <f t="shared" si="0"/>
        <v>OK</v>
      </c>
      <c r="K10" s="18" t="str">
        <f t="shared" si="1"/>
        <v>OK</v>
      </c>
      <c r="L10" s="18" t="str">
        <f t="shared" si="2"/>
        <v>OK</v>
      </c>
    </row>
    <row r="11" spans="3:12" x14ac:dyDescent="0.25">
      <c r="C11" s="20" t="s">
        <v>11</v>
      </c>
      <c r="D11" s="22">
        <v>420000</v>
      </c>
      <c r="E11" s="22">
        <v>219100</v>
      </c>
      <c r="F11" s="17">
        <v>35</v>
      </c>
      <c r="G11" s="34">
        <v>18.25</v>
      </c>
      <c r="H11" s="17" t="s">
        <v>6</v>
      </c>
      <c r="J11" s="18" t="str">
        <f t="shared" si="0"/>
        <v>OK</v>
      </c>
      <c r="K11" s="18" t="str">
        <f t="shared" si="1"/>
        <v>OK</v>
      </c>
      <c r="L11" s="18" t="str">
        <f t="shared" si="2"/>
        <v>OK</v>
      </c>
    </row>
    <row r="12" spans="3:12" x14ac:dyDescent="0.25">
      <c r="C12" s="20" t="s">
        <v>12</v>
      </c>
      <c r="D12" s="22">
        <v>197000</v>
      </c>
      <c r="E12" s="22">
        <v>44100</v>
      </c>
      <c r="F12" s="17">
        <v>20</v>
      </c>
      <c r="G12" s="34">
        <v>4.5</v>
      </c>
      <c r="H12" s="17" t="s">
        <v>6</v>
      </c>
      <c r="J12" s="18" t="str">
        <f t="shared" si="0"/>
        <v>OK</v>
      </c>
      <c r="K12" s="18" t="str">
        <f t="shared" si="1"/>
        <v>OK</v>
      </c>
      <c r="L12" s="18" t="str">
        <f t="shared" si="2"/>
        <v>OK</v>
      </c>
    </row>
    <row r="13" spans="3:12" x14ac:dyDescent="0.25">
      <c r="C13" s="20" t="s">
        <v>13</v>
      </c>
      <c r="D13" s="22">
        <v>196000</v>
      </c>
      <c r="E13" s="22">
        <v>68000</v>
      </c>
      <c r="F13" s="17">
        <v>20</v>
      </c>
      <c r="G13" s="34">
        <v>6.916666666666667</v>
      </c>
      <c r="H13" s="17" t="s">
        <v>14</v>
      </c>
      <c r="J13" s="18" t="str">
        <f t="shared" si="0"/>
        <v>OK</v>
      </c>
      <c r="K13" s="18" t="str">
        <f t="shared" si="1"/>
        <v>OK</v>
      </c>
      <c r="L13" s="18" t="str">
        <f t="shared" si="2"/>
        <v>OK</v>
      </c>
    </row>
    <row r="14" spans="3:12" x14ac:dyDescent="0.25">
      <c r="C14" s="20" t="s">
        <v>15</v>
      </c>
      <c r="D14" s="22">
        <v>286100</v>
      </c>
      <c r="E14" s="22">
        <v>117500</v>
      </c>
      <c r="F14" s="17">
        <v>20</v>
      </c>
      <c r="G14" s="34">
        <v>8.25</v>
      </c>
      <c r="H14" s="17" t="s">
        <v>14</v>
      </c>
      <c r="J14" s="18" t="str">
        <f t="shared" si="0"/>
        <v>OK</v>
      </c>
      <c r="K14" s="18" t="str">
        <f t="shared" si="1"/>
        <v>OK</v>
      </c>
      <c r="L14" s="18" t="str">
        <f t="shared" si="2"/>
        <v>OK</v>
      </c>
    </row>
    <row r="15" spans="3:12" x14ac:dyDescent="0.25">
      <c r="C15" s="20" t="s">
        <v>16</v>
      </c>
      <c r="D15" s="22">
        <v>74000</v>
      </c>
      <c r="E15" s="22">
        <v>40500</v>
      </c>
      <c r="F15" s="17">
        <v>25</v>
      </c>
      <c r="G15" s="34">
        <v>13.666666666666666</v>
      </c>
      <c r="H15" s="17" t="s">
        <v>14</v>
      </c>
      <c r="J15" s="18" t="str">
        <f t="shared" si="0"/>
        <v>OK</v>
      </c>
      <c r="K15" s="18" t="str">
        <f t="shared" si="1"/>
        <v>OK</v>
      </c>
      <c r="L15" s="18" t="str">
        <f t="shared" si="2"/>
        <v>OK</v>
      </c>
    </row>
    <row r="16" spans="3:12" x14ac:dyDescent="0.25">
      <c r="C16" s="20" t="s">
        <v>17</v>
      </c>
      <c r="D16" s="22">
        <v>380000</v>
      </c>
      <c r="E16" s="22">
        <v>246100</v>
      </c>
      <c r="F16" s="17">
        <v>30</v>
      </c>
      <c r="G16" s="34">
        <v>19.416666666666668</v>
      </c>
      <c r="H16" s="17" t="s">
        <v>6</v>
      </c>
      <c r="J16" s="18" t="str">
        <f t="shared" si="0"/>
        <v>OK</v>
      </c>
      <c r="K16" s="18" t="str">
        <f t="shared" si="1"/>
        <v>OK</v>
      </c>
      <c r="L16" s="18" t="str">
        <f t="shared" si="2"/>
        <v>OK</v>
      </c>
    </row>
    <row r="17" spans="2:12" x14ac:dyDescent="0.25">
      <c r="C17" s="20" t="s">
        <v>18</v>
      </c>
      <c r="D17" s="22">
        <v>98600</v>
      </c>
      <c r="E17" s="22">
        <v>29400</v>
      </c>
      <c r="F17" s="17">
        <v>15</v>
      </c>
      <c r="G17" s="34">
        <v>4.5</v>
      </c>
      <c r="H17" s="17" t="s">
        <v>14</v>
      </c>
      <c r="J17" s="18" t="str">
        <f t="shared" si="0"/>
        <v>OK</v>
      </c>
      <c r="K17" s="18" t="str">
        <f t="shared" si="1"/>
        <v>OK</v>
      </c>
      <c r="L17" s="18" t="str">
        <f t="shared" si="2"/>
        <v>OK</v>
      </c>
    </row>
    <row r="18" spans="2:12" x14ac:dyDescent="0.25">
      <c r="C18" s="20" t="s">
        <v>19</v>
      </c>
      <c r="D18" s="22">
        <v>65000</v>
      </c>
      <c r="E18" s="22">
        <v>37900</v>
      </c>
      <c r="F18" s="17">
        <v>25</v>
      </c>
      <c r="G18" s="34">
        <v>14.583333333333334</v>
      </c>
      <c r="H18" s="17" t="s">
        <v>6</v>
      </c>
      <c r="J18" s="18" t="str">
        <f t="shared" si="0"/>
        <v>OK</v>
      </c>
      <c r="K18" s="18" t="str">
        <f t="shared" si="1"/>
        <v>OK</v>
      </c>
      <c r="L18" s="18" t="str">
        <f t="shared" si="2"/>
        <v>OK</v>
      </c>
    </row>
    <row r="19" spans="2:12" x14ac:dyDescent="0.25">
      <c r="C19" s="20" t="s">
        <v>20</v>
      </c>
      <c r="D19" s="22">
        <v>206000</v>
      </c>
      <c r="E19" s="22">
        <v>66900</v>
      </c>
      <c r="F19" s="17">
        <v>15</v>
      </c>
      <c r="G19" s="34">
        <v>4.833333333333333</v>
      </c>
      <c r="H19" s="17" t="s">
        <v>6</v>
      </c>
      <c r="J19" s="18" t="str">
        <f t="shared" si="0"/>
        <v>OK</v>
      </c>
      <c r="K19" s="18" t="str">
        <f t="shared" si="1"/>
        <v>OK</v>
      </c>
      <c r="L19" s="18" t="str">
        <f t="shared" si="2"/>
        <v>OK</v>
      </c>
    </row>
    <row r="20" spans="2:12" x14ac:dyDescent="0.25">
      <c r="C20" s="20" t="s">
        <v>21</v>
      </c>
      <c r="D20" s="22">
        <v>100700</v>
      </c>
      <c r="E20" s="22">
        <v>56900</v>
      </c>
      <c r="F20" s="17">
        <v>20</v>
      </c>
      <c r="G20" s="34">
        <v>11.333333333333334</v>
      </c>
      <c r="H20" s="17" t="s">
        <v>14</v>
      </c>
      <c r="J20" s="18" t="str">
        <f t="shared" si="0"/>
        <v>OK</v>
      </c>
      <c r="K20" s="18" t="str">
        <f t="shared" si="1"/>
        <v>OK</v>
      </c>
      <c r="L20" s="18" t="str">
        <f t="shared" si="2"/>
        <v>OK</v>
      </c>
    </row>
    <row r="21" spans="2:12" x14ac:dyDescent="0.25">
      <c r="C21" s="20" t="s">
        <v>22</v>
      </c>
      <c r="D21" s="22">
        <v>150500</v>
      </c>
      <c r="E21" s="22">
        <v>91500</v>
      </c>
      <c r="F21" s="17">
        <v>20</v>
      </c>
      <c r="G21" s="34">
        <v>12.166666666666666</v>
      </c>
      <c r="H21" s="17" t="s">
        <v>6</v>
      </c>
      <c r="J21" s="18" t="str">
        <f t="shared" si="0"/>
        <v>OK</v>
      </c>
      <c r="K21" s="18" t="str">
        <f t="shared" si="1"/>
        <v>OK</v>
      </c>
      <c r="L21" s="18" t="str">
        <f t="shared" si="2"/>
        <v>OK</v>
      </c>
    </row>
    <row r="22" spans="2:12" x14ac:dyDescent="0.25">
      <c r="C22" s="20" t="s">
        <v>23</v>
      </c>
      <c r="D22" s="22">
        <v>340500</v>
      </c>
      <c r="E22" s="22">
        <v>259300</v>
      </c>
      <c r="F22" s="17">
        <v>30</v>
      </c>
      <c r="G22" s="34">
        <v>22.833333333333332</v>
      </c>
      <c r="H22" s="17" t="s">
        <v>6</v>
      </c>
      <c r="J22" s="18" t="str">
        <f t="shared" si="0"/>
        <v>OK</v>
      </c>
      <c r="K22" s="18" t="str">
        <f t="shared" si="1"/>
        <v>OK</v>
      </c>
      <c r="L22" s="18" t="str">
        <f t="shared" si="2"/>
        <v>OK</v>
      </c>
    </row>
    <row r="23" spans="2:12" x14ac:dyDescent="0.25">
      <c r="C23" s="20" t="s">
        <v>24</v>
      </c>
      <c r="D23" s="22">
        <v>220000</v>
      </c>
      <c r="E23" s="22">
        <v>179600</v>
      </c>
      <c r="F23" s="17">
        <v>35</v>
      </c>
      <c r="G23" s="34">
        <v>28.583333333333332</v>
      </c>
      <c r="H23" s="17" t="s">
        <v>6</v>
      </c>
      <c r="J23" s="18" t="str">
        <f t="shared" si="0"/>
        <v>OK</v>
      </c>
      <c r="K23" s="18" t="str">
        <f t="shared" si="1"/>
        <v>OK</v>
      </c>
      <c r="L23" s="18" t="str">
        <f t="shared" si="2"/>
        <v>OK</v>
      </c>
    </row>
    <row r="24" spans="2:12" x14ac:dyDescent="0.25">
      <c r="C24" s="20" t="s">
        <v>25</v>
      </c>
      <c r="D24" s="22">
        <v>245500</v>
      </c>
      <c r="E24" s="22">
        <v>204000</v>
      </c>
      <c r="F24" s="17">
        <v>35</v>
      </c>
      <c r="G24" s="34">
        <v>29.083333333333332</v>
      </c>
      <c r="H24" s="17" t="s">
        <v>6</v>
      </c>
      <c r="J24" s="18" t="str">
        <f t="shared" si="0"/>
        <v>OK</v>
      </c>
      <c r="K24" s="18" t="str">
        <f t="shared" si="1"/>
        <v>OK</v>
      </c>
      <c r="L24" s="18" t="str">
        <f t="shared" si="2"/>
        <v>OK</v>
      </c>
    </row>
    <row r="25" spans="2:12" x14ac:dyDescent="0.25">
      <c r="C25" s="20" t="s">
        <v>26</v>
      </c>
      <c r="D25" s="22">
        <v>445000</v>
      </c>
      <c r="E25" s="22">
        <v>375500</v>
      </c>
      <c r="F25" s="17">
        <v>35</v>
      </c>
      <c r="G25" s="34">
        <v>29.5</v>
      </c>
      <c r="H25" s="17" t="s">
        <v>6</v>
      </c>
      <c r="J25" s="18" t="str">
        <f t="shared" si="0"/>
        <v>OK</v>
      </c>
      <c r="K25" s="18" t="str">
        <f t="shared" si="1"/>
        <v>OK</v>
      </c>
      <c r="L25" s="18" t="str">
        <f t="shared" si="2"/>
        <v>OK</v>
      </c>
    </row>
    <row r="27" spans="2:12" x14ac:dyDescent="0.25">
      <c r="B27" s="7" t="s">
        <v>27</v>
      </c>
      <c r="C27" s="12">
        <f>COUNTA(C6:C25)</f>
        <v>20</v>
      </c>
      <c r="D27" s="12">
        <f t="shared" ref="D27:H27" si="3">COUNTA(D6:D25)</f>
        <v>20</v>
      </c>
      <c r="E27" s="12">
        <f t="shared" si="3"/>
        <v>20</v>
      </c>
      <c r="F27" s="12">
        <f t="shared" si="3"/>
        <v>20</v>
      </c>
      <c r="G27" s="12">
        <f t="shared" si="3"/>
        <v>20</v>
      </c>
      <c r="H27" s="12">
        <f t="shared" si="3"/>
        <v>20</v>
      </c>
    </row>
    <row r="28" spans="2:12" x14ac:dyDescent="0.25">
      <c r="B28" s="7" t="s">
        <v>28</v>
      </c>
      <c r="C28" s="14">
        <v>20</v>
      </c>
      <c r="D28" s="14">
        <v>20</v>
      </c>
      <c r="E28" s="14">
        <v>20</v>
      </c>
      <c r="F28" s="14">
        <v>20</v>
      </c>
      <c r="G28" s="14">
        <v>20</v>
      </c>
      <c r="H28" s="14">
        <v>20</v>
      </c>
    </row>
    <row r="29" spans="2:12" x14ac:dyDescent="0.25">
      <c r="B29" s="7" t="s">
        <v>29</v>
      </c>
      <c r="C29" s="18" t="str">
        <f>IF(C28=C27,"OK","Check")</f>
        <v>OK</v>
      </c>
      <c r="D29" s="18" t="str">
        <f t="shared" ref="D29:H29" si="4">IF(D28=D27,"OK","Check")</f>
        <v>OK</v>
      </c>
      <c r="E29" s="18" t="str">
        <f t="shared" si="4"/>
        <v>OK</v>
      </c>
      <c r="F29" s="18" t="str">
        <f t="shared" si="4"/>
        <v>OK</v>
      </c>
      <c r="G29" s="18" t="str">
        <f t="shared" si="4"/>
        <v>OK</v>
      </c>
      <c r="H29" s="18" t="str">
        <f t="shared" si="4"/>
        <v>OK</v>
      </c>
    </row>
    <row r="32" spans="2:12" x14ac:dyDescent="0.25">
      <c r="C32" s="7" t="s">
        <v>33</v>
      </c>
      <c r="D32" s="11">
        <f>MAX(D$6:D$25)</f>
        <v>500000</v>
      </c>
      <c r="E32" s="11">
        <f t="shared" ref="E32:G32" si="5">MAX(E$6:E$25)</f>
        <v>375500</v>
      </c>
      <c r="F32" s="11">
        <f t="shared" si="5"/>
        <v>40</v>
      </c>
      <c r="G32" s="11">
        <f t="shared" si="5"/>
        <v>29.5</v>
      </c>
    </row>
    <row r="33" spans="3:8" x14ac:dyDescent="0.25">
      <c r="C33" s="7" t="s">
        <v>34</v>
      </c>
      <c r="D33" s="11">
        <f>MIN(D$6:D$25)</f>
        <v>65000</v>
      </c>
      <c r="E33" s="11">
        <f t="shared" ref="E33:G33" si="6">MIN(E$6:E$25)</f>
        <v>18900</v>
      </c>
      <c r="F33" s="11">
        <f t="shared" si="6"/>
        <v>15</v>
      </c>
      <c r="G33" s="11">
        <f t="shared" si="6"/>
        <v>2.1666666666666665</v>
      </c>
      <c r="H33" s="2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31"/>
  <sheetViews>
    <sheetView zoomScale="85" zoomScaleNormal="85" workbookViewId="0">
      <selection activeCell="O9" sqref="O9"/>
    </sheetView>
  </sheetViews>
  <sheetFormatPr defaultRowHeight="15" x14ac:dyDescent="0.25"/>
  <cols>
    <col min="3" max="3" width="13.42578125" bestFit="1" customWidth="1"/>
    <col min="4" max="4" width="21.140625" bestFit="1" customWidth="1"/>
    <col min="7" max="7" width="11.7109375" bestFit="1" customWidth="1"/>
    <col min="8" max="8" width="21.140625" bestFit="1" customWidth="1"/>
    <col min="15" max="15" width="19.85546875" bestFit="1" customWidth="1"/>
  </cols>
  <sheetData>
    <row r="4" spans="3:16" x14ac:dyDescent="0.25">
      <c r="C4" s="7" t="s">
        <v>37</v>
      </c>
      <c r="G4" s="7" t="s">
        <v>38</v>
      </c>
      <c r="H4" s="2" t="s">
        <v>65</v>
      </c>
    </row>
    <row r="5" spans="3:16" x14ac:dyDescent="0.25">
      <c r="D5" s="1"/>
      <c r="E5" s="1"/>
    </row>
    <row r="6" spans="3:16" x14ac:dyDescent="0.25">
      <c r="D6" s="10" t="s">
        <v>0</v>
      </c>
      <c r="E6" s="10" t="s">
        <v>4</v>
      </c>
      <c r="H6" s="10" t="s">
        <v>0</v>
      </c>
      <c r="I6" s="10" t="s">
        <v>4</v>
      </c>
      <c r="L6" s="10" t="s">
        <v>14</v>
      </c>
      <c r="M6" s="10" t="s">
        <v>6</v>
      </c>
    </row>
    <row r="7" spans="3:16" x14ac:dyDescent="0.25">
      <c r="C7" s="4" t="str">
        <f>Data!C6</f>
        <v>Loan 1</v>
      </c>
      <c r="D7" s="11">
        <f>Data!D6</f>
        <v>309000</v>
      </c>
      <c r="E7" s="12" t="str">
        <f>Data!H6</f>
        <v>GBP</v>
      </c>
      <c r="G7" s="20" t="s">
        <v>5</v>
      </c>
      <c r="H7" s="22">
        <v>309000</v>
      </c>
      <c r="I7" s="17" t="s">
        <v>6</v>
      </c>
      <c r="K7" s="7" t="s">
        <v>33</v>
      </c>
      <c r="L7" s="11">
        <f>MAX($H$22:$H$26)</f>
        <v>286100</v>
      </c>
      <c r="M7" s="11">
        <f>MAX($H$7:$H$21)</f>
        <v>500000</v>
      </c>
    </row>
    <row r="8" spans="3:16" x14ac:dyDescent="0.25">
      <c r="C8" s="4" t="str">
        <f>Data!C7</f>
        <v>Loan 2</v>
      </c>
      <c r="D8" s="11">
        <f>Data!D7</f>
        <v>367000</v>
      </c>
      <c r="E8" s="12" t="str">
        <f>Data!H7</f>
        <v>GBP</v>
      </c>
      <c r="G8" s="20" t="s">
        <v>7</v>
      </c>
      <c r="H8" s="22">
        <v>367000</v>
      </c>
      <c r="I8" s="17" t="s">
        <v>6</v>
      </c>
      <c r="K8" s="7" t="s">
        <v>34</v>
      </c>
      <c r="L8" s="11">
        <f>MIN($H$22:$H$26)</f>
        <v>74000</v>
      </c>
      <c r="M8" s="11">
        <f>MIN($H$7:$H$21)</f>
        <v>65000</v>
      </c>
      <c r="O8" s="7" t="s">
        <v>40</v>
      </c>
    </row>
    <row r="9" spans="3:16" x14ac:dyDescent="0.25">
      <c r="C9" s="4" t="str">
        <f>Data!C8</f>
        <v>Loan 3</v>
      </c>
      <c r="D9" s="11">
        <f>Data!D8</f>
        <v>100000</v>
      </c>
      <c r="E9" s="12" t="str">
        <f>Data!H8</f>
        <v>GBP</v>
      </c>
      <c r="G9" s="20" t="s">
        <v>8</v>
      </c>
      <c r="H9" s="22">
        <v>100000</v>
      </c>
      <c r="I9" s="17" t="s">
        <v>6</v>
      </c>
      <c r="K9" s="7" t="s">
        <v>36</v>
      </c>
      <c r="L9" s="11">
        <f>AVERAGE($H$22:$H$26)</f>
        <v>151080</v>
      </c>
      <c r="M9" s="11">
        <f>AVERAGE($H$7:$H$21)</f>
        <v>290400</v>
      </c>
      <c r="O9" s="11">
        <f>AVERAGE(H7:H26)</f>
        <v>255570</v>
      </c>
      <c r="P9" s="2" t="s">
        <v>41</v>
      </c>
    </row>
    <row r="10" spans="3:16" x14ac:dyDescent="0.25">
      <c r="C10" s="4" t="str">
        <f>Data!C9</f>
        <v>Loan 4</v>
      </c>
      <c r="D10" s="11">
        <f>Data!D9</f>
        <v>500000</v>
      </c>
      <c r="E10" s="12" t="str">
        <f>Data!H9</f>
        <v>GBP</v>
      </c>
      <c r="G10" s="20" t="s">
        <v>9</v>
      </c>
      <c r="H10" s="22">
        <v>500000</v>
      </c>
      <c r="I10" s="17" t="s">
        <v>6</v>
      </c>
    </row>
    <row r="11" spans="3:16" x14ac:dyDescent="0.25">
      <c r="C11" s="4" t="str">
        <f>Data!C10</f>
        <v>Loan 5</v>
      </c>
      <c r="D11" s="11">
        <f>Data!D10</f>
        <v>410500</v>
      </c>
      <c r="E11" s="12" t="str">
        <f>Data!H10</f>
        <v>GBP</v>
      </c>
      <c r="G11" s="20" t="s">
        <v>10</v>
      </c>
      <c r="H11" s="22">
        <v>410500</v>
      </c>
      <c r="I11" s="17" t="s">
        <v>6</v>
      </c>
      <c r="K11" s="7" t="s">
        <v>39</v>
      </c>
      <c r="L11" s="18" t="str">
        <f>IF(L7&lt;=Data!$D$32,"OK","Check")</f>
        <v>OK</v>
      </c>
      <c r="M11" s="18" t="str">
        <f>IF(M7&lt;=Data!$D$32,"OK","Check")</f>
        <v>OK</v>
      </c>
    </row>
    <row r="12" spans="3:16" x14ac:dyDescent="0.25">
      <c r="C12" s="4" t="str">
        <f>Data!C11</f>
        <v>Loan 6</v>
      </c>
      <c r="D12" s="11">
        <f>Data!D11</f>
        <v>420000</v>
      </c>
      <c r="E12" s="12" t="str">
        <f>Data!H11</f>
        <v>GBP</v>
      </c>
      <c r="G12" s="20" t="s">
        <v>11</v>
      </c>
      <c r="H12" s="22">
        <v>420000</v>
      </c>
      <c r="I12" s="17" t="s">
        <v>6</v>
      </c>
      <c r="L12" s="18" t="str">
        <f>IF(L8&gt;=Data!$D$33,"OK","Check")</f>
        <v>OK</v>
      </c>
      <c r="M12" s="18" t="str">
        <f>IF(M8&gt;=Data!$D$33,"OK","Check")</f>
        <v>OK</v>
      </c>
    </row>
    <row r="13" spans="3:16" x14ac:dyDescent="0.25">
      <c r="C13" s="4" t="str">
        <f>Data!C12</f>
        <v>Loan 7</v>
      </c>
      <c r="D13" s="11">
        <f>Data!D12</f>
        <v>197000</v>
      </c>
      <c r="E13" s="12" t="str">
        <f>Data!H12</f>
        <v>GBP</v>
      </c>
      <c r="G13" s="20" t="s">
        <v>12</v>
      </c>
      <c r="H13" s="22">
        <v>197000</v>
      </c>
      <c r="I13" s="17" t="s">
        <v>6</v>
      </c>
    </row>
    <row r="14" spans="3:16" x14ac:dyDescent="0.25">
      <c r="C14" s="4" t="str">
        <f>Data!C13</f>
        <v>Loan 8</v>
      </c>
      <c r="D14" s="11">
        <f>Data!D13</f>
        <v>196000</v>
      </c>
      <c r="E14" s="12" t="str">
        <f>Data!H13</f>
        <v>USD</v>
      </c>
      <c r="G14" s="20" t="s">
        <v>17</v>
      </c>
      <c r="H14" s="22">
        <v>380000</v>
      </c>
      <c r="I14" s="17" t="s">
        <v>6</v>
      </c>
    </row>
    <row r="15" spans="3:16" x14ac:dyDescent="0.25">
      <c r="C15" s="4" t="str">
        <f>Data!C14</f>
        <v>Loan 9</v>
      </c>
      <c r="D15" s="11">
        <f>Data!D14</f>
        <v>286100</v>
      </c>
      <c r="E15" s="12" t="str">
        <f>Data!H14</f>
        <v>USD</v>
      </c>
      <c r="G15" s="20" t="s">
        <v>19</v>
      </c>
      <c r="H15" s="22">
        <v>65000</v>
      </c>
      <c r="I15" s="17" t="s">
        <v>6</v>
      </c>
    </row>
    <row r="16" spans="3:16" x14ac:dyDescent="0.25">
      <c r="C16" s="4" t="str">
        <f>Data!C15</f>
        <v>Loan 10</v>
      </c>
      <c r="D16" s="11">
        <f>Data!D15</f>
        <v>74000</v>
      </c>
      <c r="E16" s="12" t="str">
        <f>Data!H15</f>
        <v>USD</v>
      </c>
      <c r="G16" s="20" t="s">
        <v>20</v>
      </c>
      <c r="H16" s="22">
        <v>206000</v>
      </c>
      <c r="I16" s="17" t="s">
        <v>6</v>
      </c>
    </row>
    <row r="17" spans="3:9" x14ac:dyDescent="0.25">
      <c r="C17" s="4" t="str">
        <f>Data!C16</f>
        <v>Loan 11</v>
      </c>
      <c r="D17" s="11">
        <f>Data!D16</f>
        <v>380000</v>
      </c>
      <c r="E17" s="12" t="str">
        <f>Data!H16</f>
        <v>GBP</v>
      </c>
      <c r="G17" s="20" t="s">
        <v>22</v>
      </c>
      <c r="H17" s="22">
        <v>150500</v>
      </c>
      <c r="I17" s="17" t="s">
        <v>6</v>
      </c>
    </row>
    <row r="18" spans="3:9" x14ac:dyDescent="0.25">
      <c r="C18" s="4" t="str">
        <f>Data!C17</f>
        <v>Loan 12</v>
      </c>
      <c r="D18" s="11">
        <f>Data!D17</f>
        <v>98600</v>
      </c>
      <c r="E18" s="12" t="str">
        <f>Data!H17</f>
        <v>USD</v>
      </c>
      <c r="G18" s="20" t="s">
        <v>23</v>
      </c>
      <c r="H18" s="22">
        <v>340500</v>
      </c>
      <c r="I18" s="17" t="s">
        <v>6</v>
      </c>
    </row>
    <row r="19" spans="3:9" x14ac:dyDescent="0.25">
      <c r="C19" s="4" t="str">
        <f>Data!C18</f>
        <v>Loan 13</v>
      </c>
      <c r="D19" s="11">
        <f>Data!D18</f>
        <v>65000</v>
      </c>
      <c r="E19" s="12" t="str">
        <f>Data!H18</f>
        <v>GBP</v>
      </c>
      <c r="G19" s="20" t="s">
        <v>24</v>
      </c>
      <c r="H19" s="22">
        <v>220000</v>
      </c>
      <c r="I19" s="17" t="s">
        <v>6</v>
      </c>
    </row>
    <row r="20" spans="3:9" x14ac:dyDescent="0.25">
      <c r="C20" s="4" t="str">
        <f>Data!C19</f>
        <v>Loan 14</v>
      </c>
      <c r="D20" s="11">
        <f>Data!D19</f>
        <v>206000</v>
      </c>
      <c r="E20" s="12" t="str">
        <f>Data!H19</f>
        <v>GBP</v>
      </c>
      <c r="G20" s="20" t="s">
        <v>25</v>
      </c>
      <c r="H20" s="22">
        <v>245500</v>
      </c>
      <c r="I20" s="17" t="s">
        <v>6</v>
      </c>
    </row>
    <row r="21" spans="3:9" x14ac:dyDescent="0.25">
      <c r="C21" s="4" t="str">
        <f>Data!C20</f>
        <v>Loan 15</v>
      </c>
      <c r="D21" s="11">
        <f>Data!D20</f>
        <v>100700</v>
      </c>
      <c r="E21" s="12" t="str">
        <f>Data!H20</f>
        <v>USD</v>
      </c>
      <c r="G21" s="20" t="s">
        <v>26</v>
      </c>
      <c r="H21" s="22">
        <v>445000</v>
      </c>
      <c r="I21" s="17" t="s">
        <v>6</v>
      </c>
    </row>
    <row r="22" spans="3:9" x14ac:dyDescent="0.25">
      <c r="C22" s="4" t="str">
        <f>Data!C21</f>
        <v>Loan 16</v>
      </c>
      <c r="D22" s="11">
        <f>Data!D21</f>
        <v>150500</v>
      </c>
      <c r="E22" s="12" t="str">
        <f>Data!H21</f>
        <v>GBP</v>
      </c>
      <c r="G22" s="20" t="s">
        <v>13</v>
      </c>
      <c r="H22" s="22">
        <v>196000</v>
      </c>
      <c r="I22" s="17" t="s">
        <v>14</v>
      </c>
    </row>
    <row r="23" spans="3:9" x14ac:dyDescent="0.25">
      <c r="C23" s="4" t="str">
        <f>Data!C22</f>
        <v>Loan 17</v>
      </c>
      <c r="D23" s="11">
        <f>Data!D22</f>
        <v>340500</v>
      </c>
      <c r="E23" s="12" t="str">
        <f>Data!H22</f>
        <v>GBP</v>
      </c>
      <c r="G23" s="20" t="s">
        <v>15</v>
      </c>
      <c r="H23" s="22">
        <v>286100</v>
      </c>
      <c r="I23" s="17" t="s">
        <v>14</v>
      </c>
    </row>
    <row r="24" spans="3:9" x14ac:dyDescent="0.25">
      <c r="C24" s="4" t="str">
        <f>Data!C23</f>
        <v>Loan 18</v>
      </c>
      <c r="D24" s="11">
        <f>Data!D23</f>
        <v>220000</v>
      </c>
      <c r="E24" s="12" t="str">
        <f>Data!H23</f>
        <v>GBP</v>
      </c>
      <c r="G24" s="20" t="s">
        <v>16</v>
      </c>
      <c r="H24" s="22">
        <v>74000</v>
      </c>
      <c r="I24" s="17" t="s">
        <v>14</v>
      </c>
    </row>
    <row r="25" spans="3:9" x14ac:dyDescent="0.25">
      <c r="C25" s="4" t="str">
        <f>Data!C24</f>
        <v>Loan 19</v>
      </c>
      <c r="D25" s="11">
        <f>Data!D24</f>
        <v>245500</v>
      </c>
      <c r="E25" s="12" t="str">
        <f>Data!H24</f>
        <v>GBP</v>
      </c>
      <c r="G25" s="20" t="s">
        <v>18</v>
      </c>
      <c r="H25" s="22">
        <v>98600</v>
      </c>
      <c r="I25" s="17" t="s">
        <v>14</v>
      </c>
    </row>
    <row r="26" spans="3:9" x14ac:dyDescent="0.25">
      <c r="C26" s="4" t="str">
        <f>Data!C25</f>
        <v>Loan 20</v>
      </c>
      <c r="D26" s="11">
        <f>Data!D25</f>
        <v>445000</v>
      </c>
      <c r="E26" s="12" t="str">
        <f>Data!H25</f>
        <v>GBP</v>
      </c>
      <c r="G26" s="20" t="s">
        <v>21</v>
      </c>
      <c r="H26" s="22">
        <v>100700</v>
      </c>
      <c r="I26" s="17" t="s">
        <v>14</v>
      </c>
    </row>
    <row r="28" spans="3:9" x14ac:dyDescent="0.25">
      <c r="C28" s="7" t="s">
        <v>27</v>
      </c>
      <c r="D28" s="23" t="s">
        <v>14</v>
      </c>
      <c r="E28" s="12">
        <f>COUNTIF(E$7:E$26,D28)</f>
        <v>5</v>
      </c>
      <c r="H28" s="23" t="s">
        <v>14</v>
      </c>
      <c r="I28" s="12">
        <f>COUNTIF(I$7:I$26,H28)</f>
        <v>5</v>
      </c>
    </row>
    <row r="29" spans="3:9" x14ac:dyDescent="0.25">
      <c r="D29" s="23" t="s">
        <v>6</v>
      </c>
      <c r="E29" s="12">
        <f>COUNTIF(E$7:E$26,D29)</f>
        <v>15</v>
      </c>
      <c r="H29" s="23" t="s">
        <v>6</v>
      </c>
      <c r="I29" s="12">
        <f>COUNTIF(I$7:I$26,H29)</f>
        <v>15</v>
      </c>
    </row>
    <row r="30" spans="3:9" x14ac:dyDescent="0.25">
      <c r="D30" s="23" t="s">
        <v>80</v>
      </c>
      <c r="E30" s="12">
        <f>E29+E28</f>
        <v>20</v>
      </c>
    </row>
    <row r="31" spans="3:9" x14ac:dyDescent="0.25">
      <c r="E31" s="2" t="s">
        <v>81</v>
      </c>
      <c r="H31" s="7" t="s">
        <v>39</v>
      </c>
      <c r="I31" s="18" t="str">
        <f>IF(AND(I28=E28,I29=E29),"OK","Check")</f>
        <v>OK</v>
      </c>
    </row>
  </sheetData>
  <sortState ref="G7:I26">
    <sortCondition ref="I7:I2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4"/>
  <sheetViews>
    <sheetView zoomScale="85" zoomScaleNormal="85" workbookViewId="0">
      <selection activeCell="C15" sqref="C15"/>
    </sheetView>
  </sheetViews>
  <sheetFormatPr defaultRowHeight="15" x14ac:dyDescent="0.25"/>
  <cols>
    <col min="3" max="3" width="25.28515625" customWidth="1"/>
    <col min="4" max="5" width="11" style="1" bestFit="1" customWidth="1"/>
    <col min="6" max="6" width="10.85546875" style="1" bestFit="1" customWidth="1"/>
  </cols>
  <sheetData>
    <row r="4" spans="3:8" x14ac:dyDescent="0.25">
      <c r="D4" s="10" t="s">
        <v>46</v>
      </c>
      <c r="E4" s="10" t="s">
        <v>47</v>
      </c>
      <c r="F4" s="10" t="s">
        <v>48</v>
      </c>
    </row>
    <row r="5" spans="3:8" x14ac:dyDescent="0.25">
      <c r="C5" s="7" t="s">
        <v>42</v>
      </c>
      <c r="D5" s="13">
        <v>250000</v>
      </c>
      <c r="E5" s="13">
        <v>250000</v>
      </c>
      <c r="F5" s="13">
        <v>250000</v>
      </c>
    </row>
    <row r="6" spans="3:8" x14ac:dyDescent="0.25">
      <c r="D6" s="9" t="s">
        <v>56</v>
      </c>
      <c r="E6" s="9" t="s">
        <v>57</v>
      </c>
      <c r="F6" s="9" t="s">
        <v>61</v>
      </c>
      <c r="H6" s="2" t="s">
        <v>75</v>
      </c>
    </row>
    <row r="7" spans="3:8" x14ac:dyDescent="0.25">
      <c r="C7" s="7" t="s">
        <v>43</v>
      </c>
      <c r="D7" s="14">
        <v>15</v>
      </c>
      <c r="E7" s="14">
        <v>25</v>
      </c>
      <c r="F7" s="14">
        <v>35</v>
      </c>
    </row>
    <row r="8" spans="3:8" x14ac:dyDescent="0.25">
      <c r="D8" s="9" t="s">
        <v>55</v>
      </c>
      <c r="E8" s="9" t="s">
        <v>58</v>
      </c>
      <c r="F8" s="9" t="s">
        <v>62</v>
      </c>
    </row>
    <row r="9" spans="3:8" x14ac:dyDescent="0.25">
      <c r="C9" s="7" t="s">
        <v>45</v>
      </c>
      <c r="D9" s="15">
        <v>0.04</v>
      </c>
      <c r="E9" s="15">
        <v>0.05</v>
      </c>
      <c r="F9" s="15">
        <v>0.06</v>
      </c>
    </row>
    <row r="10" spans="3:8" x14ac:dyDescent="0.25">
      <c r="D10" s="9" t="s">
        <v>54</v>
      </c>
      <c r="E10" s="9" t="s">
        <v>59</v>
      </c>
      <c r="F10" s="9" t="s">
        <v>63</v>
      </c>
    </row>
    <row r="11" spans="3:8" x14ac:dyDescent="0.25">
      <c r="C11" s="7" t="s">
        <v>44</v>
      </c>
      <c r="D11" s="15">
        <v>0.03</v>
      </c>
      <c r="E11" s="16">
        <v>3.5000000000000003E-2</v>
      </c>
      <c r="F11" s="15">
        <v>0.04</v>
      </c>
    </row>
    <row r="12" spans="3:8" x14ac:dyDescent="0.25">
      <c r="D12" s="9" t="s">
        <v>53</v>
      </c>
      <c r="E12" s="9" t="s">
        <v>60</v>
      </c>
      <c r="F12" s="9" t="s">
        <v>64</v>
      </c>
    </row>
    <row r="14" spans="3:8" x14ac:dyDescent="0.25">
      <c r="C14" s="7" t="s">
        <v>84</v>
      </c>
      <c r="D14" s="37">
        <v>5.0000000000000001E-3</v>
      </c>
    </row>
    <row r="15" spans="3:8" x14ac:dyDescent="0.25">
      <c r="D15" s="9" t="s">
        <v>83</v>
      </c>
    </row>
    <row r="17" spans="3:4" x14ac:dyDescent="0.25">
      <c r="C17" s="3" t="s">
        <v>49</v>
      </c>
      <c r="D17"/>
    </row>
    <row r="18" spans="3:4" x14ac:dyDescent="0.25">
      <c r="D18"/>
    </row>
    <row r="19" spans="3:4" x14ac:dyDescent="0.25">
      <c r="C19" s="4"/>
      <c r="D19" t="s">
        <v>50</v>
      </c>
    </row>
    <row r="20" spans="3:4" x14ac:dyDescent="0.25">
      <c r="C20" s="5"/>
      <c r="D20" t="s">
        <v>50</v>
      </c>
    </row>
    <row r="21" spans="3:4" x14ac:dyDescent="0.25">
      <c r="C21" s="6"/>
      <c r="D21" t="s">
        <v>51</v>
      </c>
    </row>
    <row r="22" spans="3:4" x14ac:dyDescent="0.25">
      <c r="C22" s="7"/>
      <c r="D22" t="s">
        <v>52</v>
      </c>
    </row>
    <row r="23" spans="3:4" x14ac:dyDescent="0.25">
      <c r="C23" s="8"/>
      <c r="D23" t="s">
        <v>39</v>
      </c>
    </row>
    <row r="24" spans="3:4" x14ac:dyDescent="0.25">
      <c r="C24" s="20"/>
      <c r="D24" s="21" t="s">
        <v>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Y47"/>
  <sheetViews>
    <sheetView zoomScale="85" zoomScaleNormal="85" workbookViewId="0">
      <selection activeCell="D8" sqref="D8:F8"/>
    </sheetView>
  </sheetViews>
  <sheetFormatPr defaultRowHeight="15" x14ac:dyDescent="0.25"/>
  <cols>
    <col min="3" max="3" width="13.5703125" bestFit="1" customWidth="1"/>
    <col min="4" max="5" width="11" bestFit="1" customWidth="1"/>
    <col min="6" max="6" width="10.85546875" bestFit="1" customWidth="1"/>
    <col min="7" max="8" width="11" bestFit="1" customWidth="1"/>
    <col min="9" max="9" width="10.85546875" bestFit="1" customWidth="1"/>
    <col min="10" max="11" width="11" bestFit="1" customWidth="1"/>
    <col min="12" max="12" width="10.85546875" bestFit="1" customWidth="1"/>
    <col min="13" max="14" width="11" bestFit="1" customWidth="1"/>
    <col min="15" max="15" width="10.85546875" bestFit="1" customWidth="1"/>
  </cols>
  <sheetData>
    <row r="2" spans="3:25" x14ac:dyDescent="0.25">
      <c r="D2" s="10" t="s">
        <v>46</v>
      </c>
      <c r="E2" s="10" t="s">
        <v>47</v>
      </c>
      <c r="F2" s="10" t="s">
        <v>48</v>
      </c>
    </row>
    <row r="3" spans="3:25" x14ac:dyDescent="0.25">
      <c r="C3" s="7" t="s">
        <v>42</v>
      </c>
      <c r="D3" s="11">
        <f>loan_A</f>
        <v>250000</v>
      </c>
      <c r="E3" s="11">
        <f>loan_B</f>
        <v>250000</v>
      </c>
      <c r="F3" s="11">
        <f>loan_c</f>
        <v>250000</v>
      </c>
    </row>
    <row r="4" spans="3:25" x14ac:dyDescent="0.25">
      <c r="C4" s="7" t="s">
        <v>43</v>
      </c>
      <c r="D4" s="12">
        <f>term_A</f>
        <v>15</v>
      </c>
      <c r="E4" s="12">
        <f>term_B</f>
        <v>25</v>
      </c>
      <c r="F4" s="12">
        <f>term_C</f>
        <v>35</v>
      </c>
    </row>
    <row r="5" spans="3:25" x14ac:dyDescent="0.25">
      <c r="C5" s="7" t="s">
        <v>45</v>
      </c>
      <c r="D5" s="24">
        <f>int_A</f>
        <v>0.04</v>
      </c>
      <c r="E5" s="24">
        <f>int_B</f>
        <v>0.05</v>
      </c>
      <c r="F5" s="24">
        <f>int_C</f>
        <v>0.06</v>
      </c>
    </row>
    <row r="6" spans="3:25" x14ac:dyDescent="0.25">
      <c r="C6" s="7" t="s">
        <v>44</v>
      </c>
      <c r="D6" s="24">
        <f>disc_A</f>
        <v>0.03</v>
      </c>
      <c r="E6" s="24">
        <f>disc_B</f>
        <v>3.5000000000000003E-2</v>
      </c>
      <c r="F6" s="24">
        <f>disc_c</f>
        <v>0.04</v>
      </c>
    </row>
    <row r="7" spans="3:25" x14ac:dyDescent="0.25"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</row>
    <row r="8" spans="3:25" x14ac:dyDescent="0.25">
      <c r="C8" s="10" t="s">
        <v>71</v>
      </c>
      <c r="D8" s="36" t="s">
        <v>67</v>
      </c>
      <c r="E8" s="36"/>
      <c r="F8" s="36"/>
      <c r="G8" s="36" t="s">
        <v>68</v>
      </c>
      <c r="H8" s="36"/>
      <c r="I8" s="36"/>
      <c r="J8" s="36" t="s">
        <v>69</v>
      </c>
      <c r="K8" s="36"/>
      <c r="L8" s="36"/>
      <c r="M8" s="36" t="s">
        <v>70</v>
      </c>
      <c r="N8" s="36"/>
      <c r="O8" s="36"/>
      <c r="Q8" s="36" t="s">
        <v>76</v>
      </c>
      <c r="R8" s="36"/>
      <c r="S8" s="36"/>
    </row>
    <row r="9" spans="3:25" x14ac:dyDescent="0.25">
      <c r="C9" s="10">
        <v>0</v>
      </c>
      <c r="D9" s="11">
        <f>(IF($C9&lt;D$4,D$5*D$3,0)+IF($C9=D$4,D$3,0))*IF($C9=0,1,(1-prob_default))</f>
        <v>10000</v>
      </c>
      <c r="E9" s="11">
        <f>(IF($C9&lt;E$4,E$5*E$3,0)+IF($C9=E$4,E$3,0))*IF($C9=0,1,(1-prob_default))</f>
        <v>12500</v>
      </c>
      <c r="F9" s="11">
        <f>(IF($C9&lt;F$4,F$5*F$3,0)+IF($C9=F$4,F$3,0))*IF($C9=0,1,(1-prob_default))</f>
        <v>15000</v>
      </c>
      <c r="G9" s="25">
        <f>(1+D$6)^-$C9</f>
        <v>1</v>
      </c>
      <c r="H9" s="25">
        <f t="shared" ref="H9:H44" si="0">(1+E$6)^-$C9</f>
        <v>1</v>
      </c>
      <c r="I9" s="25">
        <f t="shared" ref="I9:I44" si="1">(1+F$6)^-$C9</f>
        <v>1</v>
      </c>
      <c r="J9" s="11">
        <f>G9*D9</f>
        <v>10000</v>
      </c>
      <c r="K9" s="11">
        <f t="shared" ref="K9:K44" si="2">H9*E9</f>
        <v>12500</v>
      </c>
      <c r="L9" s="11">
        <f t="shared" ref="L9:L44" si="3">I9*F9</f>
        <v>15000</v>
      </c>
      <c r="M9" s="19">
        <f>SUM(J9:J44)-D3</f>
        <v>32059.087151758198</v>
      </c>
      <c r="N9" s="19">
        <f t="shared" ref="N9:O9" si="4">SUM(K9:K44)-E3</f>
        <v>67483.760643422254</v>
      </c>
      <c r="O9" s="19">
        <f t="shared" si="4"/>
        <v>102824.22492768813</v>
      </c>
    </row>
    <row r="10" spans="3:25" x14ac:dyDescent="0.25">
      <c r="C10" s="10">
        <v>1</v>
      </c>
      <c r="D10" s="11">
        <f>(IF($C10&lt;D$4,D$5*D$3,0)+IF($C10=D$4,D$3,0))*IF($C10=0,1,(1-prob_default))</f>
        <v>9950</v>
      </c>
      <c r="E10" s="11">
        <f>(IF($C10&lt;E$4,E$5*E$3,0)+IF($C10=E$4,E$3,0))*IF($C10=0,1,(1-prob_default))</f>
        <v>12437.5</v>
      </c>
      <c r="F10" s="11">
        <f>(IF($C10&lt;F$4,F$5*F$3,0)+IF($C10=F$4,F$3,0))*IF($C10=0,1,(1-prob_default))</f>
        <v>14925</v>
      </c>
      <c r="G10" s="25">
        <f t="shared" ref="G10:G44" si="5">(1+D$6)^-$C10</f>
        <v>0.970873786407767</v>
      </c>
      <c r="H10" s="25">
        <f t="shared" si="0"/>
        <v>0.96618357487922713</v>
      </c>
      <c r="I10" s="25">
        <f t="shared" si="1"/>
        <v>0.96153846153846145</v>
      </c>
      <c r="J10" s="11">
        <f t="shared" ref="J10:J44" si="6">G10*D10</f>
        <v>9660.1941747572819</v>
      </c>
      <c r="K10" s="11">
        <f t="shared" si="2"/>
        <v>12016.908212560387</v>
      </c>
      <c r="L10" s="11">
        <f t="shared" si="3"/>
        <v>14350.961538461537</v>
      </c>
      <c r="Q10" s="18" t="str">
        <f>IF(G10&lt;G9,"OK","Check")</f>
        <v>OK</v>
      </c>
      <c r="R10" s="18" t="str">
        <f t="shared" ref="R10:R44" si="7">IF(H10&lt;H9,"OK","Check")</f>
        <v>OK</v>
      </c>
      <c r="S10" s="18" t="str">
        <f t="shared" ref="S10:S44" si="8">IF(I10&lt;I9,"OK","Check")</f>
        <v>OK</v>
      </c>
      <c r="U10" s="35"/>
      <c r="V10" s="35"/>
      <c r="W10" s="35"/>
      <c r="X10" s="35"/>
      <c r="Y10" s="35"/>
    </row>
    <row r="11" spans="3:25" x14ac:dyDescent="0.25">
      <c r="C11" s="10">
        <v>2</v>
      </c>
      <c r="D11" s="11">
        <f>(IF($C11&lt;D$4,D$5*D$3,0)+IF($C11=D$4,D$3,0))*IF($C11=0,1,(1-prob_default))</f>
        <v>9950</v>
      </c>
      <c r="E11" s="11">
        <f>(IF($C11&lt;E$4,E$5*E$3,0)+IF($C11=E$4,E$3,0))*IF($C11=0,1,(1-prob_default))</f>
        <v>12437.5</v>
      </c>
      <c r="F11" s="11">
        <f>(IF($C11&lt;F$4,F$5*F$3,0)+IF($C11=F$4,F$3,0))*IF($C11=0,1,(1-prob_default))</f>
        <v>14925</v>
      </c>
      <c r="G11" s="25">
        <f t="shared" si="5"/>
        <v>0.94259590913375435</v>
      </c>
      <c r="H11" s="25">
        <f t="shared" si="0"/>
        <v>0.93351070036640305</v>
      </c>
      <c r="I11" s="25">
        <f t="shared" si="1"/>
        <v>0.92455621301775137</v>
      </c>
      <c r="J11" s="11">
        <f t="shared" si="6"/>
        <v>9378.8292958808561</v>
      </c>
      <c r="K11" s="11">
        <f t="shared" si="2"/>
        <v>11610.539335807138</v>
      </c>
      <c r="L11" s="11">
        <f t="shared" si="3"/>
        <v>13799.00147928994</v>
      </c>
      <c r="Q11" s="18" t="str">
        <f t="shared" ref="Q11:Q44" si="9">IF(G11&lt;G10,"OK","Check")</f>
        <v>OK</v>
      </c>
      <c r="R11" s="18" t="str">
        <f t="shared" si="7"/>
        <v>OK</v>
      </c>
      <c r="S11" s="18" t="str">
        <f t="shared" si="8"/>
        <v>OK</v>
      </c>
    </row>
    <row r="12" spans="3:25" x14ac:dyDescent="0.25">
      <c r="C12" s="10">
        <v>3</v>
      </c>
      <c r="D12" s="11">
        <f>(IF($C12&lt;D$4,D$5*D$3,0)+IF($C12=D$4,D$3,0))*IF($C12=0,1,(1-prob_default))</f>
        <v>9950</v>
      </c>
      <c r="E12" s="11">
        <f>(IF($C12&lt;E$4,E$5*E$3,0)+IF($C12=E$4,E$3,0))*IF($C12=0,1,(1-prob_default))</f>
        <v>12437.5</v>
      </c>
      <c r="F12" s="11">
        <f>(IF($C12&lt;F$4,F$5*F$3,0)+IF($C12=F$4,F$3,0))*IF($C12=0,1,(1-prob_default))</f>
        <v>14925</v>
      </c>
      <c r="G12" s="25">
        <f t="shared" si="5"/>
        <v>0.91514165935315961</v>
      </c>
      <c r="H12" s="25">
        <f t="shared" si="0"/>
        <v>0.90194270566802237</v>
      </c>
      <c r="I12" s="25">
        <f t="shared" si="1"/>
        <v>0.88899635867091487</v>
      </c>
      <c r="J12" s="11">
        <f t="shared" si="6"/>
        <v>9105.659510563939</v>
      </c>
      <c r="K12" s="11">
        <f t="shared" si="2"/>
        <v>11217.912401746029</v>
      </c>
      <c r="L12" s="11">
        <f t="shared" si="3"/>
        <v>13268.270653163405</v>
      </c>
      <c r="Q12" s="18" t="str">
        <f t="shared" si="9"/>
        <v>OK</v>
      </c>
      <c r="R12" s="18" t="str">
        <f t="shared" si="7"/>
        <v>OK</v>
      </c>
      <c r="S12" s="18" t="str">
        <f t="shared" si="8"/>
        <v>OK</v>
      </c>
    </row>
    <row r="13" spans="3:25" x14ac:dyDescent="0.25">
      <c r="C13" s="10">
        <v>4</v>
      </c>
      <c r="D13" s="11">
        <f>(IF($C13&lt;D$4,D$5*D$3,0)+IF($C13=D$4,D$3,0))*IF($C13=0,1,(1-prob_default))</f>
        <v>9950</v>
      </c>
      <c r="E13" s="11">
        <f>(IF($C13&lt;E$4,E$5*E$3,0)+IF($C13=E$4,E$3,0))*IF($C13=0,1,(1-prob_default))</f>
        <v>12437.5</v>
      </c>
      <c r="F13" s="11">
        <f>(IF($C13&lt;F$4,F$5*F$3,0)+IF($C13=F$4,F$3,0))*IF($C13=0,1,(1-prob_default))</f>
        <v>14925</v>
      </c>
      <c r="G13" s="25">
        <f t="shared" si="5"/>
        <v>0.888487047915689</v>
      </c>
      <c r="H13" s="25">
        <f t="shared" si="0"/>
        <v>0.87144222769857238</v>
      </c>
      <c r="I13" s="25">
        <f t="shared" si="1"/>
        <v>0.85480419102972571</v>
      </c>
      <c r="J13" s="11">
        <f t="shared" si="6"/>
        <v>8840.4461267611059</v>
      </c>
      <c r="K13" s="11">
        <f t="shared" si="2"/>
        <v>10838.562707000994</v>
      </c>
      <c r="L13" s="11">
        <f t="shared" si="3"/>
        <v>12757.952551118657</v>
      </c>
      <c r="Q13" s="18" t="str">
        <f t="shared" si="9"/>
        <v>OK</v>
      </c>
      <c r="R13" s="18" t="str">
        <f t="shared" si="7"/>
        <v>OK</v>
      </c>
      <c r="S13" s="18" t="str">
        <f t="shared" si="8"/>
        <v>OK</v>
      </c>
    </row>
    <row r="14" spans="3:25" x14ac:dyDescent="0.25">
      <c r="C14" s="10">
        <v>5</v>
      </c>
      <c r="D14" s="11">
        <f>(IF($C14&lt;D$4,D$5*D$3,0)+IF($C14=D$4,D$3,0))*IF($C14=0,1,(1-prob_default))</f>
        <v>9950</v>
      </c>
      <c r="E14" s="11">
        <f>(IF($C14&lt;E$4,E$5*E$3,0)+IF($C14=E$4,E$3,0))*IF($C14=0,1,(1-prob_default))</f>
        <v>12437.5</v>
      </c>
      <c r="F14" s="11">
        <f>(IF($C14&lt;F$4,F$5*F$3,0)+IF($C14=F$4,F$3,0))*IF($C14=0,1,(1-prob_default))</f>
        <v>14925</v>
      </c>
      <c r="G14" s="25">
        <f t="shared" si="5"/>
        <v>0.86260878438416411</v>
      </c>
      <c r="H14" s="25">
        <f t="shared" si="0"/>
        <v>0.84197316685852419</v>
      </c>
      <c r="I14" s="25">
        <f t="shared" si="1"/>
        <v>0.82192710675935154</v>
      </c>
      <c r="J14" s="11">
        <f t="shared" si="6"/>
        <v>8582.9574046224334</v>
      </c>
      <c r="K14" s="11">
        <f t="shared" si="2"/>
        <v>10472.041262802895</v>
      </c>
      <c r="L14" s="11">
        <f t="shared" si="3"/>
        <v>12267.262068383321</v>
      </c>
      <c r="Q14" s="18" t="str">
        <f t="shared" si="9"/>
        <v>OK</v>
      </c>
      <c r="R14" s="18" t="str">
        <f t="shared" si="7"/>
        <v>OK</v>
      </c>
      <c r="S14" s="18" t="str">
        <f t="shared" si="8"/>
        <v>OK</v>
      </c>
    </row>
    <row r="15" spans="3:25" x14ac:dyDescent="0.25">
      <c r="C15" s="10">
        <v>6</v>
      </c>
      <c r="D15" s="11">
        <f>(IF($C15&lt;D$4,D$5*D$3,0)+IF($C15=D$4,D$3,0))*IF($C15=0,1,(1-prob_default))</f>
        <v>9950</v>
      </c>
      <c r="E15" s="11">
        <f>(IF($C15&lt;E$4,E$5*E$3,0)+IF($C15=E$4,E$3,0))*IF($C15=0,1,(1-prob_default))</f>
        <v>12437.5</v>
      </c>
      <c r="F15" s="11">
        <f>(IF($C15&lt;F$4,F$5*F$3,0)+IF($C15=F$4,F$3,0))*IF($C15=0,1,(1-prob_default))</f>
        <v>14925</v>
      </c>
      <c r="G15" s="25">
        <f t="shared" si="5"/>
        <v>0.83748425668365445</v>
      </c>
      <c r="H15" s="25">
        <f t="shared" si="0"/>
        <v>0.81350064430775282</v>
      </c>
      <c r="I15" s="25">
        <f t="shared" si="1"/>
        <v>0.79031452573014571</v>
      </c>
      <c r="J15" s="11">
        <f t="shared" si="6"/>
        <v>8332.9683540023616</v>
      </c>
      <c r="K15" s="11">
        <f t="shared" si="2"/>
        <v>10117.914263577675</v>
      </c>
      <c r="L15" s="11">
        <f t="shared" si="3"/>
        <v>11795.444296522424</v>
      </c>
      <c r="Q15" s="18" t="str">
        <f t="shared" si="9"/>
        <v>OK</v>
      </c>
      <c r="R15" s="18" t="str">
        <f t="shared" si="7"/>
        <v>OK</v>
      </c>
      <c r="S15" s="18" t="str">
        <f t="shared" si="8"/>
        <v>OK</v>
      </c>
    </row>
    <row r="16" spans="3:25" x14ac:dyDescent="0.25">
      <c r="C16" s="10">
        <v>7</v>
      </c>
      <c r="D16" s="11">
        <f>(IF($C16&lt;D$4,D$5*D$3,0)+IF($C16=D$4,D$3,0))*IF($C16=0,1,(1-prob_default))</f>
        <v>9950</v>
      </c>
      <c r="E16" s="11">
        <f>(IF($C16&lt;E$4,E$5*E$3,0)+IF($C16=E$4,E$3,0))*IF($C16=0,1,(1-prob_default))</f>
        <v>12437.5</v>
      </c>
      <c r="F16" s="11">
        <f>(IF($C16&lt;F$4,F$5*F$3,0)+IF($C16=F$4,F$3,0))*IF($C16=0,1,(1-prob_default))</f>
        <v>14925</v>
      </c>
      <c r="G16" s="25">
        <f t="shared" si="5"/>
        <v>0.81309151134335378</v>
      </c>
      <c r="H16" s="25">
        <f t="shared" si="0"/>
        <v>0.78599096068381913</v>
      </c>
      <c r="I16" s="25">
        <f t="shared" si="1"/>
        <v>0.75991781320206331</v>
      </c>
      <c r="J16" s="11">
        <f t="shared" si="6"/>
        <v>8090.2605378663702</v>
      </c>
      <c r="K16" s="11">
        <f t="shared" si="2"/>
        <v>9775.7625735050005</v>
      </c>
      <c r="L16" s="11">
        <f t="shared" si="3"/>
        <v>11341.773362040794</v>
      </c>
      <c r="Q16" s="18" t="str">
        <f t="shared" si="9"/>
        <v>OK</v>
      </c>
      <c r="R16" s="18" t="str">
        <f t="shared" si="7"/>
        <v>OK</v>
      </c>
      <c r="S16" s="18" t="str">
        <f t="shared" si="8"/>
        <v>OK</v>
      </c>
    </row>
    <row r="17" spans="3:19" x14ac:dyDescent="0.25">
      <c r="C17" s="10">
        <v>8</v>
      </c>
      <c r="D17" s="11">
        <f>(IF($C17&lt;D$4,D$5*D$3,0)+IF($C17=D$4,D$3,0))*IF($C17=0,1,(1-prob_default))</f>
        <v>9950</v>
      </c>
      <c r="E17" s="11">
        <f>(IF($C17&lt;E$4,E$5*E$3,0)+IF($C17=E$4,E$3,0))*IF($C17=0,1,(1-prob_default))</f>
        <v>12437.5</v>
      </c>
      <c r="F17" s="11">
        <f>(IF($C17&lt;F$4,F$5*F$3,0)+IF($C17=F$4,F$3,0))*IF($C17=0,1,(1-prob_default))</f>
        <v>14925</v>
      </c>
      <c r="G17" s="25">
        <f t="shared" si="5"/>
        <v>0.78940923431393573</v>
      </c>
      <c r="H17" s="25">
        <f t="shared" si="0"/>
        <v>0.75941155621625056</v>
      </c>
      <c r="I17" s="25">
        <f t="shared" si="1"/>
        <v>0.73069020500198378</v>
      </c>
      <c r="J17" s="11">
        <f t="shared" si="6"/>
        <v>7854.6218814236609</v>
      </c>
      <c r="K17" s="11">
        <f t="shared" si="2"/>
        <v>9445.1812304396171</v>
      </c>
      <c r="L17" s="11">
        <f t="shared" si="3"/>
        <v>10905.551309654607</v>
      </c>
      <c r="Q17" s="18" t="str">
        <f t="shared" si="9"/>
        <v>OK</v>
      </c>
      <c r="R17" s="18" t="str">
        <f t="shared" si="7"/>
        <v>OK</v>
      </c>
      <c r="S17" s="18" t="str">
        <f t="shared" si="8"/>
        <v>OK</v>
      </c>
    </row>
    <row r="18" spans="3:19" x14ac:dyDescent="0.25">
      <c r="C18" s="10">
        <v>9</v>
      </c>
      <c r="D18" s="11">
        <f>(IF($C18&lt;D$4,D$5*D$3,0)+IF($C18=D$4,D$3,0))*IF($C18=0,1,(1-prob_default))</f>
        <v>9950</v>
      </c>
      <c r="E18" s="11">
        <f>(IF($C18&lt;E$4,E$5*E$3,0)+IF($C18=E$4,E$3,0))*IF($C18=0,1,(1-prob_default))</f>
        <v>12437.5</v>
      </c>
      <c r="F18" s="11">
        <f>(IF($C18&lt;F$4,F$5*F$3,0)+IF($C18=F$4,F$3,0))*IF($C18=0,1,(1-prob_default))</f>
        <v>14925</v>
      </c>
      <c r="G18" s="25">
        <f t="shared" si="5"/>
        <v>0.76641673234362695</v>
      </c>
      <c r="H18" s="25">
        <f t="shared" si="0"/>
        <v>0.73373097218961414</v>
      </c>
      <c r="I18" s="25">
        <f t="shared" si="1"/>
        <v>0.70258673557883045</v>
      </c>
      <c r="J18" s="11">
        <f t="shared" si="6"/>
        <v>7625.8464868190886</v>
      </c>
      <c r="K18" s="11">
        <f t="shared" si="2"/>
        <v>9125.7789666083263</v>
      </c>
      <c r="L18" s="11">
        <f t="shared" si="3"/>
        <v>10486.107028514045</v>
      </c>
      <c r="Q18" s="18" t="str">
        <f t="shared" si="9"/>
        <v>OK</v>
      </c>
      <c r="R18" s="18" t="str">
        <f t="shared" si="7"/>
        <v>OK</v>
      </c>
      <c r="S18" s="18" t="str">
        <f t="shared" si="8"/>
        <v>OK</v>
      </c>
    </row>
    <row r="19" spans="3:19" x14ac:dyDescent="0.25">
      <c r="C19" s="10">
        <v>10</v>
      </c>
      <c r="D19" s="11">
        <f>(IF($C19&lt;D$4,D$5*D$3,0)+IF($C19=D$4,D$3,0))*IF($C19=0,1,(1-prob_default))</f>
        <v>9950</v>
      </c>
      <c r="E19" s="11">
        <f>(IF($C19&lt;E$4,E$5*E$3,0)+IF($C19=E$4,E$3,0))*IF($C19=0,1,(1-prob_default))</f>
        <v>12437.5</v>
      </c>
      <c r="F19" s="11">
        <f>(IF($C19&lt;F$4,F$5*F$3,0)+IF($C19=F$4,F$3,0))*IF($C19=0,1,(1-prob_default))</f>
        <v>14925</v>
      </c>
      <c r="G19" s="25">
        <f t="shared" si="5"/>
        <v>0.74409391489672516</v>
      </c>
      <c r="H19" s="25">
        <f t="shared" si="0"/>
        <v>0.70891881370977217</v>
      </c>
      <c r="I19" s="25">
        <f t="shared" si="1"/>
        <v>0.67556416882579851</v>
      </c>
      <c r="J19" s="11">
        <f t="shared" si="6"/>
        <v>7403.7344532224151</v>
      </c>
      <c r="K19" s="11">
        <f t="shared" si="2"/>
        <v>8817.1777455152915</v>
      </c>
      <c r="L19" s="11">
        <f t="shared" si="3"/>
        <v>10082.795219725043</v>
      </c>
      <c r="Q19" s="18" t="str">
        <f t="shared" si="9"/>
        <v>OK</v>
      </c>
      <c r="R19" s="18" t="str">
        <f t="shared" si="7"/>
        <v>OK</v>
      </c>
      <c r="S19" s="18" t="str">
        <f t="shared" si="8"/>
        <v>OK</v>
      </c>
    </row>
    <row r="20" spans="3:19" x14ac:dyDescent="0.25">
      <c r="C20" s="10">
        <v>11</v>
      </c>
      <c r="D20" s="11">
        <f>(IF($C20&lt;D$4,D$5*D$3,0)+IF($C20=D$4,D$3,0))*IF($C20=0,1,(1-prob_default))</f>
        <v>9950</v>
      </c>
      <c r="E20" s="11">
        <f>(IF($C20&lt;E$4,E$5*E$3,0)+IF($C20=E$4,E$3,0))*IF($C20=0,1,(1-prob_default))</f>
        <v>12437.5</v>
      </c>
      <c r="F20" s="11">
        <f>(IF($C20&lt;F$4,F$5*F$3,0)+IF($C20=F$4,F$3,0))*IF($C20=0,1,(1-prob_default))</f>
        <v>14925</v>
      </c>
      <c r="G20" s="25">
        <f t="shared" si="5"/>
        <v>0.72242127659876232</v>
      </c>
      <c r="H20" s="25">
        <f t="shared" si="0"/>
        <v>0.68494571372924851</v>
      </c>
      <c r="I20" s="25">
        <f t="shared" si="1"/>
        <v>0.6495809315632679</v>
      </c>
      <c r="J20" s="11">
        <f t="shared" si="6"/>
        <v>7188.0917021576852</v>
      </c>
      <c r="K20" s="11">
        <f t="shared" si="2"/>
        <v>8519.0123145075286</v>
      </c>
      <c r="L20" s="11">
        <f t="shared" si="3"/>
        <v>9694.9954035817736</v>
      </c>
      <c r="Q20" s="18" t="str">
        <f t="shared" si="9"/>
        <v>OK</v>
      </c>
      <c r="R20" s="18" t="str">
        <f t="shared" si="7"/>
        <v>OK</v>
      </c>
      <c r="S20" s="18" t="str">
        <f t="shared" si="8"/>
        <v>OK</v>
      </c>
    </row>
    <row r="21" spans="3:19" x14ac:dyDescent="0.25">
      <c r="C21" s="10">
        <v>12</v>
      </c>
      <c r="D21" s="11">
        <f>(IF($C21&lt;D$4,D$5*D$3,0)+IF($C21=D$4,D$3,0))*IF($C21=0,1,(1-prob_default))</f>
        <v>9950</v>
      </c>
      <c r="E21" s="11">
        <f>(IF($C21&lt;E$4,E$5*E$3,0)+IF($C21=E$4,E$3,0))*IF($C21=0,1,(1-prob_default))</f>
        <v>12437.5</v>
      </c>
      <c r="F21" s="11">
        <f>(IF($C21&lt;F$4,F$5*F$3,0)+IF($C21=F$4,F$3,0))*IF($C21=0,1,(1-prob_default))</f>
        <v>14925</v>
      </c>
      <c r="G21" s="25">
        <f t="shared" si="5"/>
        <v>0.70137988019297326</v>
      </c>
      <c r="H21" s="25">
        <f t="shared" si="0"/>
        <v>0.66178329828912896</v>
      </c>
      <c r="I21" s="25">
        <f t="shared" si="1"/>
        <v>0.62459704958006512</v>
      </c>
      <c r="J21" s="11">
        <f t="shared" si="6"/>
        <v>6978.7298079200837</v>
      </c>
      <c r="K21" s="11">
        <f t="shared" si="2"/>
        <v>8230.9297724710414</v>
      </c>
      <c r="L21" s="11">
        <f t="shared" si="3"/>
        <v>9322.1109649824721</v>
      </c>
      <c r="Q21" s="18" t="str">
        <f t="shared" si="9"/>
        <v>OK</v>
      </c>
      <c r="R21" s="18" t="str">
        <f t="shared" si="7"/>
        <v>OK</v>
      </c>
      <c r="S21" s="18" t="str">
        <f t="shared" si="8"/>
        <v>OK</v>
      </c>
    </row>
    <row r="22" spans="3:19" x14ac:dyDescent="0.25">
      <c r="C22" s="10">
        <v>13</v>
      </c>
      <c r="D22" s="11">
        <f>(IF($C22&lt;D$4,D$5*D$3,0)+IF($C22=D$4,D$3,0))*IF($C22=0,1,(1-prob_default))</f>
        <v>9950</v>
      </c>
      <c r="E22" s="11">
        <f>(IF($C22&lt;E$4,E$5*E$3,0)+IF($C22=E$4,E$3,0))*IF($C22=0,1,(1-prob_default))</f>
        <v>12437.5</v>
      </c>
      <c r="F22" s="11">
        <f>(IF($C22&lt;F$4,F$5*F$3,0)+IF($C22=F$4,F$3,0))*IF($C22=0,1,(1-prob_default))</f>
        <v>14925</v>
      </c>
      <c r="G22" s="25">
        <f t="shared" si="5"/>
        <v>0.68095133999317792</v>
      </c>
      <c r="H22" s="25">
        <f t="shared" si="0"/>
        <v>0.63940415293635666</v>
      </c>
      <c r="I22" s="25">
        <f t="shared" si="1"/>
        <v>0.600574086134678</v>
      </c>
      <c r="J22" s="11">
        <f t="shared" si="6"/>
        <v>6775.4658329321201</v>
      </c>
      <c r="K22" s="11">
        <f t="shared" si="2"/>
        <v>7952.5891521459362</v>
      </c>
      <c r="L22" s="11">
        <f t="shared" si="3"/>
        <v>8963.5682355600693</v>
      </c>
      <c r="Q22" s="18" t="str">
        <f t="shared" si="9"/>
        <v>OK</v>
      </c>
      <c r="R22" s="18" t="str">
        <f t="shared" si="7"/>
        <v>OK</v>
      </c>
      <c r="S22" s="18" t="str">
        <f t="shared" si="8"/>
        <v>OK</v>
      </c>
    </row>
    <row r="23" spans="3:19" x14ac:dyDescent="0.25">
      <c r="C23" s="10">
        <v>14</v>
      </c>
      <c r="D23" s="11">
        <f>(IF($C23&lt;D$4,D$5*D$3,0)+IF($C23=D$4,D$3,0))*IF($C23=0,1,(1-prob_default))</f>
        <v>9950</v>
      </c>
      <c r="E23" s="11">
        <f>(IF($C23&lt;E$4,E$5*E$3,0)+IF($C23=E$4,E$3,0))*IF($C23=0,1,(1-prob_default))</f>
        <v>12437.5</v>
      </c>
      <c r="F23" s="11">
        <f>(IF($C23&lt;F$4,F$5*F$3,0)+IF($C23=F$4,F$3,0))*IF($C23=0,1,(1-prob_default))</f>
        <v>14925</v>
      </c>
      <c r="G23" s="25">
        <f t="shared" si="5"/>
        <v>0.66111780581861923</v>
      </c>
      <c r="H23" s="25">
        <f t="shared" si="0"/>
        <v>0.61778179027667302</v>
      </c>
      <c r="I23" s="25">
        <f t="shared" si="1"/>
        <v>0.57747508282180582</v>
      </c>
      <c r="J23" s="11">
        <f t="shared" si="6"/>
        <v>6578.1221678952616</v>
      </c>
      <c r="K23" s="11">
        <f t="shared" si="2"/>
        <v>7683.6610165661205</v>
      </c>
      <c r="L23" s="11">
        <f t="shared" si="3"/>
        <v>8618.8156111154512</v>
      </c>
      <c r="Q23" s="18" t="str">
        <f t="shared" si="9"/>
        <v>OK</v>
      </c>
      <c r="R23" s="18" t="str">
        <f t="shared" si="7"/>
        <v>OK</v>
      </c>
      <c r="S23" s="18" t="str">
        <f t="shared" si="8"/>
        <v>OK</v>
      </c>
    </row>
    <row r="24" spans="3:19" x14ac:dyDescent="0.25">
      <c r="C24" s="10">
        <v>15</v>
      </c>
      <c r="D24" s="11">
        <f>(IF($C24&lt;D$4,D$5*D$3,0)+IF($C24=D$4,D$3,0))*IF($C24=0,1,(1-prob_default))</f>
        <v>248750</v>
      </c>
      <c r="E24" s="11">
        <f>(IF($C24&lt;E$4,E$5*E$3,0)+IF($C24=E$4,E$3,0))*IF($C24=0,1,(1-prob_default))</f>
        <v>12437.5</v>
      </c>
      <c r="F24" s="11">
        <f>(IF($C24&lt;F$4,F$5*F$3,0)+IF($C24=F$4,F$3,0))*IF($C24=0,1,(1-prob_default))</f>
        <v>14925</v>
      </c>
      <c r="G24" s="25">
        <f t="shared" si="5"/>
        <v>0.64186194739671765</v>
      </c>
      <c r="H24" s="25">
        <f t="shared" si="0"/>
        <v>0.59689061862480497</v>
      </c>
      <c r="I24" s="25">
        <f t="shared" si="1"/>
        <v>0.55526450271327477</v>
      </c>
      <c r="J24" s="11">
        <f t="shared" si="6"/>
        <v>159663.15941493353</v>
      </c>
      <c r="K24" s="11">
        <f t="shared" si="2"/>
        <v>7423.827069146012</v>
      </c>
      <c r="L24" s="11">
        <f t="shared" si="3"/>
        <v>8287.3227029956251</v>
      </c>
      <c r="Q24" s="18" t="str">
        <f t="shared" si="9"/>
        <v>OK</v>
      </c>
      <c r="R24" s="18" t="str">
        <f t="shared" si="7"/>
        <v>OK</v>
      </c>
      <c r="S24" s="18" t="str">
        <f t="shared" si="8"/>
        <v>OK</v>
      </c>
    </row>
    <row r="25" spans="3:19" x14ac:dyDescent="0.25">
      <c r="C25" s="10">
        <v>16</v>
      </c>
      <c r="D25" s="11">
        <f>(IF($C25&lt;D$4,D$5*D$3,0)+IF($C25=D$4,D$3,0))*IF($C25=0,1,(1-prob_default))</f>
        <v>0</v>
      </c>
      <c r="E25" s="11">
        <f>(IF($C25&lt;E$4,E$5*E$3,0)+IF($C25=E$4,E$3,0))*IF($C25=0,1,(1-prob_default))</f>
        <v>12437.5</v>
      </c>
      <c r="F25" s="11">
        <f>(IF($C25&lt;F$4,F$5*F$3,0)+IF($C25=F$4,F$3,0))*IF($C25=0,1,(1-prob_default))</f>
        <v>14925</v>
      </c>
      <c r="G25" s="25">
        <f t="shared" si="5"/>
        <v>0.62316693922011435</v>
      </c>
      <c r="H25" s="25">
        <f t="shared" si="0"/>
        <v>0.57670591171478747</v>
      </c>
      <c r="I25" s="25">
        <f t="shared" si="1"/>
        <v>0.53390817568584104</v>
      </c>
      <c r="J25" s="11">
        <f t="shared" si="6"/>
        <v>0</v>
      </c>
      <c r="K25" s="11">
        <f t="shared" si="2"/>
        <v>7172.7797769526687</v>
      </c>
      <c r="L25" s="11">
        <f t="shared" si="3"/>
        <v>7968.5795221111775</v>
      </c>
      <c r="Q25" s="18" t="str">
        <f t="shared" si="9"/>
        <v>OK</v>
      </c>
      <c r="R25" s="18" t="str">
        <f t="shared" si="7"/>
        <v>OK</v>
      </c>
      <c r="S25" s="18" t="str">
        <f t="shared" si="8"/>
        <v>OK</v>
      </c>
    </row>
    <row r="26" spans="3:19" x14ac:dyDescent="0.25">
      <c r="C26" s="10">
        <v>17</v>
      </c>
      <c r="D26" s="11">
        <f>(IF($C26&lt;D$4,D$5*D$3,0)+IF($C26=D$4,D$3,0))*IF($C26=0,1,(1-prob_default))</f>
        <v>0</v>
      </c>
      <c r="E26" s="11">
        <f>(IF($C26&lt;E$4,E$5*E$3,0)+IF($C26=E$4,E$3,0))*IF($C26=0,1,(1-prob_default))</f>
        <v>12437.5</v>
      </c>
      <c r="F26" s="11">
        <f>(IF($C26&lt;F$4,F$5*F$3,0)+IF($C26=F$4,F$3,0))*IF($C26=0,1,(1-prob_default))</f>
        <v>14925</v>
      </c>
      <c r="G26" s="25">
        <f t="shared" si="5"/>
        <v>0.60501644584477121</v>
      </c>
      <c r="H26" s="25">
        <f t="shared" si="0"/>
        <v>0.55720377943457733</v>
      </c>
      <c r="I26" s="25">
        <f t="shared" si="1"/>
        <v>0.51337324585177024</v>
      </c>
      <c r="J26" s="11">
        <f t="shared" si="6"/>
        <v>0</v>
      </c>
      <c r="K26" s="11">
        <f t="shared" si="2"/>
        <v>6930.2220067175558</v>
      </c>
      <c r="L26" s="11">
        <f t="shared" si="3"/>
        <v>7662.0956943376705</v>
      </c>
      <c r="Q26" s="18" t="str">
        <f t="shared" si="9"/>
        <v>OK</v>
      </c>
      <c r="R26" s="18" t="str">
        <f t="shared" si="7"/>
        <v>OK</v>
      </c>
      <c r="S26" s="18" t="str">
        <f t="shared" si="8"/>
        <v>OK</v>
      </c>
    </row>
    <row r="27" spans="3:19" x14ac:dyDescent="0.25">
      <c r="C27" s="10">
        <v>18</v>
      </c>
      <c r="D27" s="11">
        <f>(IF($C27&lt;D$4,D$5*D$3,0)+IF($C27=D$4,D$3,0))*IF($C27=0,1,(1-prob_default))</f>
        <v>0</v>
      </c>
      <c r="E27" s="11">
        <f>(IF($C27&lt;E$4,E$5*E$3,0)+IF($C27=E$4,E$3,0))*IF($C27=0,1,(1-prob_default))</f>
        <v>12437.5</v>
      </c>
      <c r="F27" s="11">
        <f>(IF($C27&lt;F$4,F$5*F$3,0)+IF($C27=F$4,F$3,0))*IF($C27=0,1,(1-prob_default))</f>
        <v>14925</v>
      </c>
      <c r="G27" s="25">
        <f t="shared" si="5"/>
        <v>0.5873946076162827</v>
      </c>
      <c r="H27" s="25">
        <f t="shared" si="0"/>
        <v>0.53836113955031628</v>
      </c>
      <c r="I27" s="25">
        <f t="shared" si="1"/>
        <v>0.49362812101131748</v>
      </c>
      <c r="J27" s="11">
        <f t="shared" si="6"/>
        <v>0</v>
      </c>
      <c r="K27" s="11">
        <f t="shared" si="2"/>
        <v>6695.8666731570584</v>
      </c>
      <c r="L27" s="11">
        <f t="shared" si="3"/>
        <v>7367.3997060939137</v>
      </c>
      <c r="Q27" s="18" t="str">
        <f t="shared" si="9"/>
        <v>OK</v>
      </c>
      <c r="R27" s="18" t="str">
        <f t="shared" si="7"/>
        <v>OK</v>
      </c>
      <c r="S27" s="18" t="str">
        <f t="shared" si="8"/>
        <v>OK</v>
      </c>
    </row>
    <row r="28" spans="3:19" x14ac:dyDescent="0.25">
      <c r="C28" s="10">
        <v>19</v>
      </c>
      <c r="D28" s="11">
        <f>(IF($C28&lt;D$4,D$5*D$3,0)+IF($C28=D$4,D$3,0))*IF($C28=0,1,(1-prob_default))</f>
        <v>0</v>
      </c>
      <c r="E28" s="11">
        <f>(IF($C28&lt;E$4,E$5*E$3,0)+IF($C28=E$4,E$3,0))*IF($C28=0,1,(1-prob_default))</f>
        <v>12437.5</v>
      </c>
      <c r="F28" s="11">
        <f>(IF($C28&lt;F$4,F$5*F$3,0)+IF($C28=F$4,F$3,0))*IF($C28=0,1,(1-prob_default))</f>
        <v>14925</v>
      </c>
      <c r="G28" s="25">
        <f t="shared" si="5"/>
        <v>0.57028602681192497</v>
      </c>
      <c r="H28" s="25">
        <f t="shared" si="0"/>
        <v>0.52015569038677911</v>
      </c>
      <c r="I28" s="25">
        <f t="shared" si="1"/>
        <v>0.47464242404934376</v>
      </c>
      <c r="J28" s="11">
        <f t="shared" si="6"/>
        <v>0</v>
      </c>
      <c r="K28" s="11">
        <f t="shared" si="2"/>
        <v>6469.4363991855653</v>
      </c>
      <c r="L28" s="11">
        <f t="shared" si="3"/>
        <v>7084.0381789364556</v>
      </c>
      <c r="Q28" s="18" t="str">
        <f t="shared" si="9"/>
        <v>OK</v>
      </c>
      <c r="R28" s="18" t="str">
        <f t="shared" si="7"/>
        <v>OK</v>
      </c>
      <c r="S28" s="18" t="str">
        <f t="shared" si="8"/>
        <v>OK</v>
      </c>
    </row>
    <row r="29" spans="3:19" x14ac:dyDescent="0.25">
      <c r="C29" s="10">
        <v>20</v>
      </c>
      <c r="D29" s="11">
        <f>(IF($C29&lt;D$4,D$5*D$3,0)+IF($C29=D$4,D$3,0))*IF($C29=0,1,(1-prob_default))</f>
        <v>0</v>
      </c>
      <c r="E29" s="11">
        <f>(IF($C29&lt;E$4,E$5*E$3,0)+IF($C29=E$4,E$3,0))*IF($C29=0,1,(1-prob_default))</f>
        <v>12437.5</v>
      </c>
      <c r="F29" s="11">
        <f>(IF($C29&lt;F$4,F$5*F$3,0)+IF($C29=F$4,F$3,0))*IF($C29=0,1,(1-prob_default))</f>
        <v>14925</v>
      </c>
      <c r="G29" s="25">
        <f t="shared" si="5"/>
        <v>0.55367575418633497</v>
      </c>
      <c r="H29" s="25">
        <f t="shared" si="0"/>
        <v>0.50256588443167061</v>
      </c>
      <c r="I29" s="25">
        <f t="shared" si="1"/>
        <v>0.45638694620129205</v>
      </c>
      <c r="J29" s="11">
        <f t="shared" si="6"/>
        <v>0</v>
      </c>
      <c r="K29" s="11">
        <f t="shared" si="2"/>
        <v>6250.6631876189031</v>
      </c>
      <c r="L29" s="11">
        <f t="shared" si="3"/>
        <v>6811.5751720542839</v>
      </c>
      <c r="Q29" s="18" t="str">
        <f t="shared" si="9"/>
        <v>OK</v>
      </c>
      <c r="R29" s="18" t="str">
        <f t="shared" si="7"/>
        <v>OK</v>
      </c>
      <c r="S29" s="18" t="str">
        <f t="shared" si="8"/>
        <v>OK</v>
      </c>
    </row>
    <row r="30" spans="3:19" x14ac:dyDescent="0.25">
      <c r="C30" s="10">
        <v>21</v>
      </c>
      <c r="D30" s="11">
        <f>(IF($C30&lt;D$4,D$5*D$3,0)+IF($C30=D$4,D$3,0))*IF($C30=0,1,(1-prob_default))</f>
        <v>0</v>
      </c>
      <c r="E30" s="11">
        <f>(IF($C30&lt;E$4,E$5*E$3,0)+IF($C30=E$4,E$3,0))*IF($C30=0,1,(1-prob_default))</f>
        <v>12437.5</v>
      </c>
      <c r="F30" s="11">
        <f>(IF($C30&lt;F$4,F$5*F$3,0)+IF($C30=F$4,F$3,0))*IF($C30=0,1,(1-prob_default))</f>
        <v>14925</v>
      </c>
      <c r="G30" s="25">
        <f t="shared" si="5"/>
        <v>0.5375492759090631</v>
      </c>
      <c r="H30" s="25">
        <f t="shared" si="0"/>
        <v>0.48557090283253213</v>
      </c>
      <c r="I30" s="25">
        <f t="shared" si="1"/>
        <v>0.43883360211662686</v>
      </c>
      <c r="J30" s="11">
        <f t="shared" si="6"/>
        <v>0</v>
      </c>
      <c r="K30" s="11">
        <f t="shared" si="2"/>
        <v>6039.2881039796184</v>
      </c>
      <c r="L30" s="11">
        <f t="shared" si="3"/>
        <v>6549.5915115906555</v>
      </c>
      <c r="Q30" s="18" t="str">
        <f t="shared" si="9"/>
        <v>OK</v>
      </c>
      <c r="R30" s="18" t="str">
        <f t="shared" si="7"/>
        <v>OK</v>
      </c>
      <c r="S30" s="18" t="str">
        <f t="shared" si="8"/>
        <v>OK</v>
      </c>
    </row>
    <row r="31" spans="3:19" x14ac:dyDescent="0.25">
      <c r="C31" s="10">
        <v>22</v>
      </c>
      <c r="D31" s="11">
        <f>(IF($C31&lt;D$4,D$5*D$3,0)+IF($C31=D$4,D$3,0))*IF($C31=0,1,(1-prob_default))</f>
        <v>0</v>
      </c>
      <c r="E31" s="11">
        <f>(IF($C31&lt;E$4,E$5*E$3,0)+IF($C31=E$4,E$3,0))*IF($C31=0,1,(1-prob_default))</f>
        <v>12437.5</v>
      </c>
      <c r="F31" s="11">
        <f>(IF($C31&lt;F$4,F$5*F$3,0)+IF($C31=F$4,F$3,0))*IF($C31=0,1,(1-prob_default))</f>
        <v>14925</v>
      </c>
      <c r="G31" s="25">
        <f t="shared" si="5"/>
        <v>0.52189250088258554</v>
      </c>
      <c r="H31" s="25">
        <f t="shared" si="0"/>
        <v>0.46915063075606966</v>
      </c>
      <c r="I31" s="25">
        <f t="shared" si="1"/>
        <v>0.42195538665060278</v>
      </c>
      <c r="J31" s="11">
        <f t="shared" si="6"/>
        <v>0</v>
      </c>
      <c r="K31" s="11">
        <f t="shared" si="2"/>
        <v>5835.0609700286168</v>
      </c>
      <c r="L31" s="11">
        <f t="shared" si="3"/>
        <v>6297.6841457602468</v>
      </c>
      <c r="Q31" s="18" t="str">
        <f t="shared" si="9"/>
        <v>OK</v>
      </c>
      <c r="R31" s="18" t="str">
        <f t="shared" si="7"/>
        <v>OK</v>
      </c>
      <c r="S31" s="18" t="str">
        <f t="shared" si="8"/>
        <v>OK</v>
      </c>
    </row>
    <row r="32" spans="3:19" x14ac:dyDescent="0.25">
      <c r="C32" s="10">
        <v>23</v>
      </c>
      <c r="D32" s="11">
        <f>(IF($C32&lt;D$4,D$5*D$3,0)+IF($C32=D$4,D$3,0))*IF($C32=0,1,(1-prob_default))</f>
        <v>0</v>
      </c>
      <c r="E32" s="11">
        <f>(IF($C32&lt;E$4,E$5*E$3,0)+IF($C32=E$4,E$3,0))*IF($C32=0,1,(1-prob_default))</f>
        <v>12437.5</v>
      </c>
      <c r="F32" s="11">
        <f>(IF($C32&lt;F$4,F$5*F$3,0)+IF($C32=F$4,F$3,0))*IF($C32=0,1,(1-prob_default))</f>
        <v>14925</v>
      </c>
      <c r="G32" s="25">
        <f t="shared" si="5"/>
        <v>0.50669174842969467</v>
      </c>
      <c r="H32" s="25">
        <f t="shared" si="0"/>
        <v>0.45328563358074364</v>
      </c>
      <c r="I32" s="25">
        <f t="shared" si="1"/>
        <v>0.40572633331788732</v>
      </c>
      <c r="J32" s="11">
        <f t="shared" si="6"/>
        <v>0</v>
      </c>
      <c r="K32" s="11">
        <f t="shared" si="2"/>
        <v>5637.7400676604993</v>
      </c>
      <c r="L32" s="11">
        <f t="shared" si="3"/>
        <v>6055.4655247694682</v>
      </c>
      <c r="Q32" s="18" t="str">
        <f t="shared" si="9"/>
        <v>OK</v>
      </c>
      <c r="R32" s="18" t="str">
        <f t="shared" si="7"/>
        <v>OK</v>
      </c>
      <c r="S32" s="18" t="str">
        <f t="shared" si="8"/>
        <v>OK</v>
      </c>
    </row>
    <row r="33" spans="3:19" x14ac:dyDescent="0.25">
      <c r="C33" s="10">
        <v>24</v>
      </c>
      <c r="D33" s="11">
        <f>(IF($C33&lt;D$4,D$5*D$3,0)+IF($C33=D$4,D$3,0))*IF($C33=0,1,(1-prob_default))</f>
        <v>0</v>
      </c>
      <c r="E33" s="11">
        <f>(IF($C33&lt;E$4,E$5*E$3,0)+IF($C33=E$4,E$3,0))*IF($C33=0,1,(1-prob_default))</f>
        <v>12437.5</v>
      </c>
      <c r="F33" s="11">
        <f>(IF($C33&lt;F$4,F$5*F$3,0)+IF($C33=F$4,F$3,0))*IF($C33=0,1,(1-prob_default))</f>
        <v>14925</v>
      </c>
      <c r="G33" s="25">
        <f t="shared" si="5"/>
        <v>0.49193373633950943</v>
      </c>
      <c r="H33" s="25">
        <f t="shared" si="0"/>
        <v>0.43795713389443841</v>
      </c>
      <c r="I33" s="25">
        <f t="shared" si="1"/>
        <v>0.39012147434412242</v>
      </c>
      <c r="J33" s="11">
        <f t="shared" si="6"/>
        <v>0</v>
      </c>
      <c r="K33" s="11">
        <f t="shared" si="2"/>
        <v>5447.0918528120774</v>
      </c>
      <c r="L33" s="11">
        <f t="shared" si="3"/>
        <v>5822.5630045860271</v>
      </c>
      <c r="Q33" s="18" t="str">
        <f t="shared" si="9"/>
        <v>OK</v>
      </c>
      <c r="R33" s="18" t="str">
        <f t="shared" si="7"/>
        <v>OK</v>
      </c>
      <c r="S33" s="18" t="str">
        <f t="shared" si="8"/>
        <v>OK</v>
      </c>
    </row>
    <row r="34" spans="3:19" x14ac:dyDescent="0.25">
      <c r="C34" s="10">
        <v>25</v>
      </c>
      <c r="D34" s="11">
        <f>(IF($C34&lt;D$4,D$5*D$3,0)+IF($C34=D$4,D$3,0))*IF($C34=0,1,(1-prob_default))</f>
        <v>0</v>
      </c>
      <c r="E34" s="11">
        <f>(IF($C34&lt;E$4,E$5*E$3,0)+IF($C34=E$4,E$3,0))*IF($C34=0,1,(1-prob_default))</f>
        <v>248750</v>
      </c>
      <c r="F34" s="11">
        <f>(IF($C34&lt;F$4,F$5*F$3,0)+IF($C34=F$4,F$3,0))*IF($C34=0,1,(1-prob_default))</f>
        <v>14925</v>
      </c>
      <c r="G34" s="25">
        <f t="shared" si="5"/>
        <v>0.47760556926165965</v>
      </c>
      <c r="H34" s="25">
        <f t="shared" si="0"/>
        <v>0.42314698926998884</v>
      </c>
      <c r="I34" s="25">
        <f t="shared" si="1"/>
        <v>0.37511680225396377</v>
      </c>
      <c r="J34" s="11">
        <f t="shared" si="6"/>
        <v>0</v>
      </c>
      <c r="K34" s="11">
        <f t="shared" si="2"/>
        <v>105257.81358090973</v>
      </c>
      <c r="L34" s="11">
        <f t="shared" si="3"/>
        <v>5598.6182736404089</v>
      </c>
      <c r="Q34" s="18" t="str">
        <f t="shared" si="9"/>
        <v>OK</v>
      </c>
      <c r="R34" s="18" t="str">
        <f t="shared" si="7"/>
        <v>OK</v>
      </c>
      <c r="S34" s="18" t="str">
        <f t="shared" si="8"/>
        <v>OK</v>
      </c>
    </row>
    <row r="35" spans="3:19" x14ac:dyDescent="0.25">
      <c r="C35" s="10">
        <v>26</v>
      </c>
      <c r="D35" s="11">
        <f>(IF($C35&lt;D$4,D$5*D$3,0)+IF($C35=D$4,D$3,0))*IF($C35=0,1,(1-prob_default))</f>
        <v>0</v>
      </c>
      <c r="E35" s="11">
        <f>(IF($C35&lt;E$4,E$5*E$3,0)+IF($C35=E$4,E$3,0))*IF($C35=0,1,(1-prob_default))</f>
        <v>0</v>
      </c>
      <c r="F35" s="11">
        <f>(IF($C35&lt;F$4,F$5*F$3,0)+IF($C35=F$4,F$3,0))*IF($C35=0,1,(1-prob_default))</f>
        <v>14925</v>
      </c>
      <c r="G35" s="25">
        <f t="shared" si="5"/>
        <v>0.46369472743850448</v>
      </c>
      <c r="H35" s="25">
        <f t="shared" si="0"/>
        <v>0.40883767079225974</v>
      </c>
      <c r="I35" s="25">
        <f t="shared" si="1"/>
        <v>0.36068923293650368</v>
      </c>
      <c r="J35" s="11">
        <f t="shared" si="6"/>
        <v>0</v>
      </c>
      <c r="K35" s="11">
        <f t="shared" si="2"/>
        <v>0</v>
      </c>
      <c r="L35" s="11">
        <f t="shared" si="3"/>
        <v>5383.2868015773174</v>
      </c>
      <c r="Q35" s="18" t="str">
        <f t="shared" si="9"/>
        <v>OK</v>
      </c>
      <c r="R35" s="18" t="str">
        <f t="shared" si="7"/>
        <v>OK</v>
      </c>
      <c r="S35" s="18" t="str">
        <f t="shared" si="8"/>
        <v>OK</v>
      </c>
    </row>
    <row r="36" spans="3:19" x14ac:dyDescent="0.25">
      <c r="C36" s="10">
        <v>27</v>
      </c>
      <c r="D36" s="11">
        <f>(IF($C36&lt;D$4,D$5*D$3,0)+IF($C36=D$4,D$3,0))*IF($C36=0,1,(1-prob_default))</f>
        <v>0</v>
      </c>
      <c r="E36" s="11">
        <f>(IF($C36&lt;E$4,E$5*E$3,0)+IF($C36=E$4,E$3,0))*IF($C36=0,1,(1-prob_default))</f>
        <v>0</v>
      </c>
      <c r="F36" s="11">
        <f>(IF($C36&lt;F$4,F$5*F$3,0)+IF($C36=F$4,F$3,0))*IF($C36=0,1,(1-prob_default))</f>
        <v>14925</v>
      </c>
      <c r="G36" s="25">
        <f t="shared" si="5"/>
        <v>0.45018905576553836</v>
      </c>
      <c r="H36" s="25">
        <f t="shared" si="0"/>
        <v>0.39501224231136206</v>
      </c>
      <c r="I36" s="25">
        <f t="shared" si="1"/>
        <v>0.3468165701312535</v>
      </c>
      <c r="J36" s="11">
        <f t="shared" si="6"/>
        <v>0</v>
      </c>
      <c r="K36" s="11">
        <f t="shared" si="2"/>
        <v>0</v>
      </c>
      <c r="L36" s="11">
        <f t="shared" si="3"/>
        <v>5176.2373092089583</v>
      </c>
      <c r="Q36" s="18" t="str">
        <f t="shared" si="9"/>
        <v>OK</v>
      </c>
      <c r="R36" s="18" t="str">
        <f t="shared" si="7"/>
        <v>OK</v>
      </c>
      <c r="S36" s="18" t="str">
        <f t="shared" si="8"/>
        <v>OK</v>
      </c>
    </row>
    <row r="37" spans="3:19" x14ac:dyDescent="0.25">
      <c r="C37" s="10">
        <v>28</v>
      </c>
      <c r="D37" s="11">
        <f>(IF($C37&lt;D$4,D$5*D$3,0)+IF($C37=D$4,D$3,0))*IF($C37=0,1,(1-prob_default))</f>
        <v>0</v>
      </c>
      <c r="E37" s="11">
        <f>(IF($C37&lt;E$4,E$5*E$3,0)+IF($C37=E$4,E$3,0))*IF($C37=0,1,(1-prob_default))</f>
        <v>0</v>
      </c>
      <c r="F37" s="11">
        <f>(IF($C37&lt;F$4,F$5*F$3,0)+IF($C37=F$4,F$3,0))*IF($C37=0,1,(1-prob_default))</f>
        <v>14925</v>
      </c>
      <c r="G37" s="25">
        <f t="shared" si="5"/>
        <v>0.4370767531704256</v>
      </c>
      <c r="H37" s="25">
        <f t="shared" si="0"/>
        <v>0.38165434039745127</v>
      </c>
      <c r="I37" s="25">
        <f t="shared" si="1"/>
        <v>0.3334774712800514</v>
      </c>
      <c r="J37" s="11">
        <f t="shared" si="6"/>
        <v>0</v>
      </c>
      <c r="K37" s="11">
        <f t="shared" si="2"/>
        <v>0</v>
      </c>
      <c r="L37" s="11">
        <f t="shared" si="3"/>
        <v>4977.1512588547666</v>
      </c>
      <c r="Q37" s="18" t="str">
        <f t="shared" si="9"/>
        <v>OK</v>
      </c>
      <c r="R37" s="18" t="str">
        <f t="shared" si="7"/>
        <v>OK</v>
      </c>
      <c r="S37" s="18" t="str">
        <f t="shared" si="8"/>
        <v>OK</v>
      </c>
    </row>
    <row r="38" spans="3:19" x14ac:dyDescent="0.25">
      <c r="C38" s="10">
        <v>29</v>
      </c>
      <c r="D38" s="11">
        <f>(IF($C38&lt;D$4,D$5*D$3,0)+IF($C38=D$4,D$3,0))*IF($C38=0,1,(1-prob_default))</f>
        <v>0</v>
      </c>
      <c r="E38" s="11">
        <f>(IF($C38&lt;E$4,E$5*E$3,0)+IF($C38=E$4,E$3,0))*IF($C38=0,1,(1-prob_default))</f>
        <v>0</v>
      </c>
      <c r="F38" s="11">
        <f>(IF($C38&lt;F$4,F$5*F$3,0)+IF($C38=F$4,F$3,0))*IF($C38=0,1,(1-prob_default))</f>
        <v>14925</v>
      </c>
      <c r="G38" s="25">
        <f t="shared" si="5"/>
        <v>0.42434636230138412</v>
      </c>
      <c r="H38" s="25">
        <f t="shared" si="0"/>
        <v>0.36874815497338298</v>
      </c>
      <c r="I38" s="25">
        <f t="shared" si="1"/>
        <v>0.32065141469235708</v>
      </c>
      <c r="J38" s="11">
        <f t="shared" si="6"/>
        <v>0</v>
      </c>
      <c r="K38" s="11">
        <f t="shared" si="2"/>
        <v>0</v>
      </c>
      <c r="L38" s="11">
        <f t="shared" si="3"/>
        <v>4785.7223642834297</v>
      </c>
      <c r="Q38" s="18" t="str">
        <f t="shared" si="9"/>
        <v>OK</v>
      </c>
      <c r="R38" s="18" t="str">
        <f t="shared" si="7"/>
        <v>OK</v>
      </c>
      <c r="S38" s="18" t="str">
        <f t="shared" si="8"/>
        <v>OK</v>
      </c>
    </row>
    <row r="39" spans="3:19" x14ac:dyDescent="0.25">
      <c r="C39" s="10">
        <v>30</v>
      </c>
      <c r="D39" s="11">
        <f>(IF($C39&lt;D$4,D$5*D$3,0)+IF($C39=D$4,D$3,0))*IF($C39=0,1,(1-prob_default))</f>
        <v>0</v>
      </c>
      <c r="E39" s="11">
        <f>(IF($C39&lt;E$4,E$5*E$3,0)+IF($C39=E$4,E$3,0))*IF($C39=0,1,(1-prob_default))</f>
        <v>0</v>
      </c>
      <c r="F39" s="11">
        <f>(IF($C39&lt;F$4,F$5*F$3,0)+IF($C39=F$4,F$3,0))*IF($C39=0,1,(1-prob_default))</f>
        <v>14925</v>
      </c>
      <c r="G39" s="25">
        <f t="shared" si="5"/>
        <v>0.41198675951590691</v>
      </c>
      <c r="H39" s="25">
        <f t="shared" si="0"/>
        <v>0.35627841060230236</v>
      </c>
      <c r="I39" s="25">
        <f t="shared" si="1"/>
        <v>0.30831866797342034</v>
      </c>
      <c r="J39" s="11">
        <f t="shared" si="6"/>
        <v>0</v>
      </c>
      <c r="K39" s="11">
        <f t="shared" si="2"/>
        <v>0</v>
      </c>
      <c r="L39" s="11">
        <f t="shared" si="3"/>
        <v>4601.6561195032982</v>
      </c>
      <c r="Q39" s="18" t="str">
        <f t="shared" si="9"/>
        <v>OK</v>
      </c>
      <c r="R39" s="18" t="str">
        <f t="shared" si="7"/>
        <v>OK</v>
      </c>
      <c r="S39" s="18" t="str">
        <f t="shared" si="8"/>
        <v>OK</v>
      </c>
    </row>
    <row r="40" spans="3:19" x14ac:dyDescent="0.25">
      <c r="C40" s="10">
        <v>31</v>
      </c>
      <c r="D40" s="11">
        <f>(IF($C40&lt;D$4,D$5*D$3,0)+IF($C40=D$4,D$3,0))*IF($C40=0,1,(1-prob_default))</f>
        <v>0</v>
      </c>
      <c r="E40" s="11">
        <f>(IF($C40&lt;E$4,E$5*E$3,0)+IF($C40=E$4,E$3,0))*IF($C40=0,1,(1-prob_default))</f>
        <v>0</v>
      </c>
      <c r="F40" s="11">
        <f>(IF($C40&lt;F$4,F$5*F$3,0)+IF($C40=F$4,F$3,0))*IF($C40=0,1,(1-prob_default))</f>
        <v>14925</v>
      </c>
      <c r="G40" s="25">
        <f t="shared" si="5"/>
        <v>0.39998714516107459</v>
      </c>
      <c r="H40" s="25">
        <f t="shared" si="0"/>
        <v>0.34423034840802164</v>
      </c>
      <c r="I40" s="25">
        <f t="shared" si="1"/>
        <v>0.29646025766675027</v>
      </c>
      <c r="J40" s="11">
        <f t="shared" si="6"/>
        <v>0</v>
      </c>
      <c r="K40" s="11">
        <f t="shared" si="2"/>
        <v>0</v>
      </c>
      <c r="L40" s="11">
        <f t="shared" si="3"/>
        <v>4424.6693456762478</v>
      </c>
      <c r="Q40" s="18" t="str">
        <f t="shared" si="9"/>
        <v>OK</v>
      </c>
      <c r="R40" s="18" t="str">
        <f t="shared" si="7"/>
        <v>OK</v>
      </c>
      <c r="S40" s="18" t="str">
        <f t="shared" si="8"/>
        <v>OK</v>
      </c>
    </row>
    <row r="41" spans="3:19" x14ac:dyDescent="0.25">
      <c r="C41" s="10">
        <v>32</v>
      </c>
      <c r="D41" s="11">
        <f>(IF($C41&lt;D$4,D$5*D$3,0)+IF($C41=D$4,D$3,0))*IF($C41=0,1,(1-prob_default))</f>
        <v>0</v>
      </c>
      <c r="E41" s="11">
        <f>(IF($C41&lt;E$4,E$5*E$3,0)+IF($C41=E$4,E$3,0))*IF($C41=0,1,(1-prob_default))</f>
        <v>0</v>
      </c>
      <c r="F41" s="11">
        <f>(IF($C41&lt;F$4,F$5*F$3,0)+IF($C41=F$4,F$3,0))*IF($C41=0,1,(1-prob_default))</f>
        <v>14925</v>
      </c>
      <c r="G41" s="25">
        <f t="shared" si="5"/>
        <v>0.38833703413696569</v>
      </c>
      <c r="H41" s="25">
        <f t="shared" si="0"/>
        <v>0.33258970860678427</v>
      </c>
      <c r="I41" s="25">
        <f t="shared" si="1"/>
        <v>0.28505794006418295</v>
      </c>
      <c r="J41" s="11">
        <f t="shared" si="6"/>
        <v>0</v>
      </c>
      <c r="K41" s="11">
        <f t="shared" si="2"/>
        <v>0</v>
      </c>
      <c r="L41" s="11">
        <f t="shared" si="3"/>
        <v>4254.4897554579302</v>
      </c>
      <c r="Q41" s="18" t="str">
        <f t="shared" si="9"/>
        <v>OK</v>
      </c>
      <c r="R41" s="18" t="str">
        <f t="shared" si="7"/>
        <v>OK</v>
      </c>
      <c r="S41" s="18" t="str">
        <f t="shared" si="8"/>
        <v>OK</v>
      </c>
    </row>
    <row r="42" spans="3:19" x14ac:dyDescent="0.25">
      <c r="C42" s="10">
        <v>33</v>
      </c>
      <c r="D42" s="11">
        <f>(IF($C42&lt;D$4,D$5*D$3,0)+IF($C42=D$4,D$3,0))*IF($C42=0,1,(1-prob_default))</f>
        <v>0</v>
      </c>
      <c r="E42" s="11">
        <f>(IF($C42&lt;E$4,E$5*E$3,0)+IF($C42=E$4,E$3,0))*IF($C42=0,1,(1-prob_default))</f>
        <v>0</v>
      </c>
      <c r="F42" s="11">
        <f>(IF($C42&lt;F$4,F$5*F$3,0)+IF($C42=F$4,F$3,0))*IF($C42=0,1,(1-prob_default))</f>
        <v>14925</v>
      </c>
      <c r="G42" s="25">
        <f t="shared" si="5"/>
        <v>0.37702624673491814</v>
      </c>
      <c r="H42" s="25">
        <f t="shared" si="0"/>
        <v>0.32134271362974326</v>
      </c>
      <c r="I42" s="25">
        <f t="shared" si="1"/>
        <v>0.27409417313863743</v>
      </c>
      <c r="J42" s="11">
        <f t="shared" si="6"/>
        <v>0</v>
      </c>
      <c r="K42" s="11">
        <f t="shared" si="2"/>
        <v>0</v>
      </c>
      <c r="L42" s="11">
        <f t="shared" si="3"/>
        <v>4090.8555340941639</v>
      </c>
      <c r="Q42" s="18" t="str">
        <f t="shared" si="9"/>
        <v>OK</v>
      </c>
      <c r="R42" s="18" t="str">
        <f t="shared" si="7"/>
        <v>OK</v>
      </c>
      <c r="S42" s="18" t="str">
        <f t="shared" si="8"/>
        <v>OK</v>
      </c>
    </row>
    <row r="43" spans="3:19" x14ac:dyDescent="0.25">
      <c r="C43" s="10">
        <v>34</v>
      </c>
      <c r="D43" s="11">
        <f>(IF($C43&lt;D$4,D$5*D$3,0)+IF($C43=D$4,D$3,0))*IF($C43=0,1,(1-prob_default))</f>
        <v>0</v>
      </c>
      <c r="E43" s="11">
        <f>(IF($C43&lt;E$4,E$5*E$3,0)+IF($C43=E$4,E$3,0))*IF($C43=0,1,(1-prob_default))</f>
        <v>0</v>
      </c>
      <c r="F43" s="11">
        <f>(IF($C43&lt;F$4,F$5*F$3,0)+IF($C43=F$4,F$3,0))*IF($C43=0,1,(1-prob_default))</f>
        <v>14925</v>
      </c>
      <c r="G43" s="25">
        <f t="shared" si="5"/>
        <v>0.36604489974263904</v>
      </c>
      <c r="H43" s="25">
        <f t="shared" si="0"/>
        <v>0.3104760518161771</v>
      </c>
      <c r="I43" s="25">
        <f t="shared" si="1"/>
        <v>0.26355208955638215</v>
      </c>
      <c r="J43" s="11">
        <f t="shared" si="6"/>
        <v>0</v>
      </c>
      <c r="K43" s="11">
        <f t="shared" si="2"/>
        <v>0</v>
      </c>
      <c r="L43" s="11">
        <f t="shared" si="3"/>
        <v>3933.5149366290038</v>
      </c>
      <c r="Q43" s="18" t="str">
        <f t="shared" si="9"/>
        <v>OK</v>
      </c>
      <c r="R43" s="18" t="str">
        <f t="shared" si="7"/>
        <v>OK</v>
      </c>
      <c r="S43" s="18" t="str">
        <f t="shared" si="8"/>
        <v>OK</v>
      </c>
    </row>
    <row r="44" spans="3:19" x14ac:dyDescent="0.25">
      <c r="C44" s="10">
        <v>35</v>
      </c>
      <c r="D44" s="11">
        <f>(IF($C44&lt;D$4,D$5*D$3,0)+IF($C44=D$4,D$3,0))*IF($C44=0,1,(1-prob_default))</f>
        <v>0</v>
      </c>
      <c r="E44" s="11">
        <f>(IF($C44&lt;E$4,E$5*E$3,0)+IF($C44=E$4,E$3,0))*IF($C44=0,1,(1-prob_default))</f>
        <v>0</v>
      </c>
      <c r="F44" s="11">
        <f>(IF($C44&lt;F$4,F$5*F$3,0)+IF($C44=F$4,F$3,0))*IF($C44=0,1,(1-prob_default))</f>
        <v>248750</v>
      </c>
      <c r="G44" s="25">
        <f t="shared" si="5"/>
        <v>0.35538339780838735</v>
      </c>
      <c r="H44" s="25">
        <f t="shared" si="0"/>
        <v>0.29997686165814214</v>
      </c>
      <c r="I44" s="25">
        <f t="shared" si="1"/>
        <v>0.25341547072729048</v>
      </c>
      <c r="J44" s="11">
        <f t="shared" si="6"/>
        <v>0</v>
      </c>
      <c r="K44" s="11">
        <f t="shared" si="2"/>
        <v>0</v>
      </c>
      <c r="L44" s="11">
        <f t="shared" si="3"/>
        <v>63037.098343413505</v>
      </c>
      <c r="Q44" s="18" t="str">
        <f t="shared" si="9"/>
        <v>OK</v>
      </c>
      <c r="R44" s="18" t="str">
        <f t="shared" si="7"/>
        <v>OK</v>
      </c>
      <c r="S44" s="18" t="str">
        <f t="shared" si="8"/>
        <v>OK</v>
      </c>
    </row>
    <row r="46" spans="3:19" x14ac:dyDescent="0.25">
      <c r="C46" s="7" t="s">
        <v>39</v>
      </c>
      <c r="D46" s="11">
        <f>SUM(D9:D44)</f>
        <v>398050</v>
      </c>
      <c r="E46" s="11">
        <f>SUM(E9:E44)</f>
        <v>559750</v>
      </c>
      <c r="F46" s="11">
        <f>SUM(F9:F44)</f>
        <v>771200</v>
      </c>
    </row>
    <row r="47" spans="3:19" x14ac:dyDescent="0.25">
      <c r="E47" s="18" t="str">
        <f>IF(E46&gt;D46,"OK","Check")</f>
        <v>OK</v>
      </c>
      <c r="F47" s="18" t="str">
        <f>IF(F46&gt;E46,"OK","Check")</f>
        <v>OK</v>
      </c>
    </row>
  </sheetData>
  <mergeCells count="5">
    <mergeCell ref="D8:F8"/>
    <mergeCell ref="G8:I8"/>
    <mergeCell ref="J8:L8"/>
    <mergeCell ref="M8:O8"/>
    <mergeCell ref="Q8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47"/>
  <sheetViews>
    <sheetView zoomScale="85" zoomScaleNormal="85" workbookViewId="0">
      <selection activeCell="O9" sqref="O9"/>
    </sheetView>
  </sheetViews>
  <sheetFormatPr defaultRowHeight="15" x14ac:dyDescent="0.25"/>
  <cols>
    <col min="3" max="3" width="8.7109375" customWidth="1"/>
    <col min="4" max="5" width="11" bestFit="1" customWidth="1"/>
    <col min="6" max="6" width="10.85546875" bestFit="1" customWidth="1"/>
    <col min="7" max="8" width="11" bestFit="1" customWidth="1"/>
    <col min="9" max="9" width="10.85546875" bestFit="1" customWidth="1"/>
    <col min="10" max="11" width="11" bestFit="1" customWidth="1"/>
    <col min="12" max="12" width="10.85546875" bestFit="1" customWidth="1"/>
    <col min="13" max="14" width="11" bestFit="1" customWidth="1"/>
    <col min="15" max="15" width="10.85546875" bestFit="1" customWidth="1"/>
  </cols>
  <sheetData>
    <row r="2" spans="3:19" x14ac:dyDescent="0.25">
      <c r="M2" s="10" t="s">
        <v>46</v>
      </c>
      <c r="N2" s="10" t="s">
        <v>47</v>
      </c>
      <c r="O2" s="10" t="s">
        <v>48</v>
      </c>
    </row>
    <row r="3" spans="3:19" x14ac:dyDescent="0.25">
      <c r="L3" s="7" t="s">
        <v>72</v>
      </c>
      <c r="M3" s="26">
        <v>4.1210866131616494E-2</v>
      </c>
      <c r="N3" s="26">
        <v>5.226689027331119E-2</v>
      </c>
      <c r="O3" s="26">
        <v>6.34689769735092E-2</v>
      </c>
      <c r="P3" s="2" t="s">
        <v>79</v>
      </c>
    </row>
    <row r="4" spans="3:19" x14ac:dyDescent="0.25">
      <c r="L4" s="7" t="s">
        <v>29</v>
      </c>
      <c r="M4" s="18" t="str">
        <f>IF(M3&gt;'NPV Calculations'!D6,"OK","Check")</f>
        <v>OK</v>
      </c>
      <c r="N4" s="18" t="str">
        <f>IF(N3&gt;'NPV Calculations'!E6,"OK","Check")</f>
        <v>OK</v>
      </c>
      <c r="O4" s="18" t="str">
        <f>IF(O3&gt;'NPV Calculations'!F6,"OK","Check")</f>
        <v>OK</v>
      </c>
      <c r="P4" s="2" t="s">
        <v>77</v>
      </c>
    </row>
    <row r="7" spans="3:19" x14ac:dyDescent="0.25"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</row>
    <row r="8" spans="3:19" x14ac:dyDescent="0.25">
      <c r="C8" s="10" t="s">
        <v>71</v>
      </c>
      <c r="D8" s="36" t="s">
        <v>67</v>
      </c>
      <c r="E8" s="36"/>
      <c r="F8" s="36"/>
      <c r="G8" s="36" t="s">
        <v>68</v>
      </c>
      <c r="H8" s="36"/>
      <c r="I8" s="36"/>
      <c r="J8" s="36" t="s">
        <v>69</v>
      </c>
      <c r="K8" s="36"/>
      <c r="L8" s="36"/>
      <c r="M8" s="36" t="s">
        <v>70</v>
      </c>
      <c r="N8" s="36"/>
      <c r="O8" s="36"/>
      <c r="Q8" s="36" t="s">
        <v>78</v>
      </c>
      <c r="R8" s="36"/>
      <c r="S8" s="36"/>
    </row>
    <row r="9" spans="3:19" x14ac:dyDescent="0.25">
      <c r="C9" s="10">
        <v>0</v>
      </c>
      <c r="D9" s="11">
        <f>'NPV Calculations'!D9</f>
        <v>10000</v>
      </c>
      <c r="E9" s="11">
        <f>'NPV Calculations'!E9</f>
        <v>12500</v>
      </c>
      <c r="F9" s="11">
        <f>'NPV Calculations'!F9</f>
        <v>15000</v>
      </c>
      <c r="G9" s="25">
        <f>(1+M$3)^-$C9</f>
        <v>1</v>
      </c>
      <c r="H9" s="25">
        <f t="shared" ref="H9:H44" si="0">(1+N$3)^-$C9</f>
        <v>1</v>
      </c>
      <c r="I9" s="25">
        <f t="shared" ref="I9:I44" si="1">(1+O$3)^-$C9</f>
        <v>1</v>
      </c>
      <c r="J9" s="11">
        <f>G9*D9</f>
        <v>10000</v>
      </c>
      <c r="K9" s="11">
        <f t="shared" ref="K9:L44" si="2">H9*E9</f>
        <v>12500</v>
      </c>
      <c r="L9" s="11">
        <f t="shared" si="2"/>
        <v>15000</v>
      </c>
      <c r="M9" s="19">
        <f>SUM(J9:J44)-loan_A</f>
        <v>3.7432761746458709E-4</v>
      </c>
      <c r="N9" s="19">
        <f>SUM(K9:K44)-loan_B</f>
        <v>-1.9208528101444244E-9</v>
      </c>
      <c r="O9" s="19">
        <f>SUM(L9:L44)-loan_c</f>
        <v>-7.5669959187507629E-9</v>
      </c>
      <c r="Q9" s="18" t="str">
        <f>IF(ABS(M9)&lt;0.001,"OK","Check")</f>
        <v>OK</v>
      </c>
      <c r="R9" s="18" t="str">
        <f t="shared" ref="R9:S9" si="3">IF(ABS(N9)&lt;0.001,"OK","Check")</f>
        <v>OK</v>
      </c>
      <c r="S9" s="18" t="str">
        <f t="shared" si="3"/>
        <v>OK</v>
      </c>
    </row>
    <row r="10" spans="3:19" x14ac:dyDescent="0.25">
      <c r="C10" s="10">
        <v>1</v>
      </c>
      <c r="D10" s="11">
        <f>'NPV Calculations'!D10</f>
        <v>9950</v>
      </c>
      <c r="E10" s="11">
        <f>'NPV Calculations'!E10</f>
        <v>12437.5</v>
      </c>
      <c r="F10" s="11">
        <f>'NPV Calculations'!F10</f>
        <v>14925</v>
      </c>
      <c r="G10" s="25">
        <f t="shared" ref="G10:G44" si="4">(1+M$3)^-$C10</f>
        <v>0.96042024966112194</v>
      </c>
      <c r="H10" s="25">
        <f t="shared" si="0"/>
        <v>0.95032924559686982</v>
      </c>
      <c r="I10" s="25">
        <f t="shared" si="1"/>
        <v>0.94031892011167684</v>
      </c>
      <c r="J10" s="11">
        <f t="shared" ref="J10:J44" si="5">G10*D10</f>
        <v>9556.181484128163</v>
      </c>
      <c r="K10" s="11">
        <f t="shared" si="2"/>
        <v>11819.719992111068</v>
      </c>
      <c r="L10" s="11">
        <f t="shared" si="2"/>
        <v>14034.259882666776</v>
      </c>
    </row>
    <row r="11" spans="3:19" x14ac:dyDescent="0.25">
      <c r="C11" s="10">
        <v>2</v>
      </c>
      <c r="D11" s="11">
        <f>'NPV Calculations'!D11</f>
        <v>9950</v>
      </c>
      <c r="E11" s="11">
        <f>'NPV Calculations'!E11</f>
        <v>12437.5</v>
      </c>
      <c r="F11" s="11">
        <f>'NPV Calculations'!F11</f>
        <v>14925</v>
      </c>
      <c r="G11" s="25">
        <f t="shared" si="4"/>
        <v>0.92240705595913186</v>
      </c>
      <c r="H11" s="25">
        <f t="shared" si="0"/>
        <v>0.90312567503671559</v>
      </c>
      <c r="I11" s="25">
        <f t="shared" si="1"/>
        <v>0.88419967151999013</v>
      </c>
      <c r="J11" s="11">
        <f t="shared" si="5"/>
        <v>9177.9502067933627</v>
      </c>
      <c r="K11" s="11">
        <f t="shared" si="2"/>
        <v>11232.62558326915</v>
      </c>
      <c r="L11" s="11">
        <f t="shared" si="2"/>
        <v>13196.680097435852</v>
      </c>
    </row>
    <row r="12" spans="3:19" x14ac:dyDescent="0.25">
      <c r="C12" s="10">
        <v>3</v>
      </c>
      <c r="D12" s="11">
        <f>'NPV Calculations'!D12</f>
        <v>9950</v>
      </c>
      <c r="E12" s="11">
        <f>'NPV Calculations'!E12</f>
        <v>12437.5</v>
      </c>
      <c r="F12" s="11">
        <f>'NPV Calculations'!F12</f>
        <v>14925</v>
      </c>
      <c r="G12" s="25">
        <f t="shared" si="4"/>
        <v>0.88589841497344979</v>
      </c>
      <c r="H12" s="25">
        <f t="shared" si="0"/>
        <v>0.8582667414368057</v>
      </c>
      <c r="I12" s="25">
        <f t="shared" si="1"/>
        <v>0.83142968028677644</v>
      </c>
      <c r="J12" s="11">
        <f t="shared" si="5"/>
        <v>8814.689228985826</v>
      </c>
      <c r="K12" s="11">
        <f t="shared" si="2"/>
        <v>10674.692596620271</v>
      </c>
      <c r="L12" s="11">
        <f t="shared" si="2"/>
        <v>12409.087978280138</v>
      </c>
    </row>
    <row r="13" spans="3:19" x14ac:dyDescent="0.25">
      <c r="C13" s="10">
        <v>4</v>
      </c>
      <c r="D13" s="11">
        <f>'NPV Calculations'!D13</f>
        <v>9950</v>
      </c>
      <c r="E13" s="11">
        <f>'NPV Calculations'!E13</f>
        <v>12437.5</v>
      </c>
      <c r="F13" s="11">
        <f>'NPV Calculations'!F13</f>
        <v>14925</v>
      </c>
      <c r="G13" s="25">
        <f t="shared" si="4"/>
        <v>0.85083477688319298</v>
      </c>
      <c r="H13" s="25">
        <f t="shared" si="0"/>
        <v>0.81563598491052325</v>
      </c>
      <c r="I13" s="25">
        <f t="shared" si="1"/>
        <v>0.78180905911605836</v>
      </c>
      <c r="J13" s="11">
        <f t="shared" si="5"/>
        <v>8465.8060299877707</v>
      </c>
      <c r="K13" s="11">
        <f t="shared" si="2"/>
        <v>10144.472562324632</v>
      </c>
      <c r="L13" s="11">
        <f t="shared" si="2"/>
        <v>11668.500207307172</v>
      </c>
    </row>
    <row r="14" spans="3:19" x14ac:dyDescent="0.25">
      <c r="C14" s="10">
        <v>5</v>
      </c>
      <c r="D14" s="11">
        <f>'NPV Calculations'!D14</f>
        <v>9950</v>
      </c>
      <c r="E14" s="11">
        <f>'NPV Calculations'!E14</f>
        <v>12437.5</v>
      </c>
      <c r="F14" s="11">
        <f>'NPV Calculations'!F14</f>
        <v>14925</v>
      </c>
      <c r="G14" s="25">
        <f t="shared" si="4"/>
        <v>0.81715894883452111</v>
      </c>
      <c r="H14" s="25">
        <f t="shared" si="0"/>
        <v>0.77512273022167744</v>
      </c>
      <c r="I14" s="25">
        <f t="shared" si="1"/>
        <v>0.73514985020153811</v>
      </c>
      <c r="J14" s="11">
        <f t="shared" si="5"/>
        <v>8130.7315409034854</v>
      </c>
      <c r="K14" s="11">
        <f t="shared" si="2"/>
        <v>9640.5889571321131</v>
      </c>
      <c r="L14" s="11">
        <f t="shared" si="2"/>
        <v>10972.111514257957</v>
      </c>
    </row>
    <row r="15" spans="3:19" x14ac:dyDescent="0.25">
      <c r="C15" s="10">
        <v>6</v>
      </c>
      <c r="D15" s="11">
        <f>'NPV Calculations'!D15</f>
        <v>9950</v>
      </c>
      <c r="E15" s="11">
        <f>'NPV Calculations'!E15</f>
        <v>12437.5</v>
      </c>
      <c r="F15" s="11">
        <f>'NPV Calculations'!F15</f>
        <v>14925</v>
      </c>
      <c r="G15" s="25">
        <f t="shared" si="4"/>
        <v>0.78481600165247078</v>
      </c>
      <c r="H15" s="25">
        <f t="shared" si="0"/>
        <v>0.7366217994565526</v>
      </c>
      <c r="I15" s="25">
        <f t="shared" si="1"/>
        <v>0.69127531326177138</v>
      </c>
      <c r="J15" s="11">
        <f t="shared" si="5"/>
        <v>7808.9192164420847</v>
      </c>
      <c r="K15" s="11">
        <f t="shared" si="2"/>
        <v>9161.7336307408732</v>
      </c>
      <c r="L15" s="11">
        <f t="shared" si="2"/>
        <v>10317.284050431937</v>
      </c>
    </row>
    <row r="16" spans="3:19" x14ac:dyDescent="0.25">
      <c r="C16" s="10">
        <v>7</v>
      </c>
      <c r="D16" s="11">
        <f>'NPV Calculations'!D16</f>
        <v>9950</v>
      </c>
      <c r="E16" s="11">
        <f>'NPV Calculations'!E16</f>
        <v>12437.5</v>
      </c>
      <c r="F16" s="11">
        <f>'NPV Calculations'!F16</f>
        <v>14925</v>
      </c>
      <c r="G16" s="25">
        <f t="shared" si="4"/>
        <v>0.75375318024510951</v>
      </c>
      <c r="H16" s="25">
        <f t="shared" si="0"/>
        <v>0.70003323896775438</v>
      </c>
      <c r="I16" s="25">
        <f t="shared" si="1"/>
        <v>0.65001925606616995</v>
      </c>
      <c r="J16" s="11">
        <f t="shared" si="5"/>
        <v>7499.8441434388396</v>
      </c>
      <c r="K16" s="11">
        <f t="shared" si="2"/>
        <v>8706.6634096614453</v>
      </c>
      <c r="L16" s="11">
        <f t="shared" si="2"/>
        <v>9701.5373967875857</v>
      </c>
    </row>
    <row r="17" spans="3:12" x14ac:dyDescent="0.25">
      <c r="C17" s="10">
        <v>8</v>
      </c>
      <c r="D17" s="11">
        <f>'NPV Calculations'!D17</f>
        <v>9950</v>
      </c>
      <c r="E17" s="11">
        <f>'NPV Calculations'!E17</f>
        <v>12437.5</v>
      </c>
      <c r="F17" s="11">
        <f>'NPV Calculations'!F17</f>
        <v>14925</v>
      </c>
      <c r="G17" s="25">
        <f t="shared" si="4"/>
        <v>0.7239198175538728</v>
      </c>
      <c r="H17" s="25">
        <f t="shared" si="0"/>
        <v>0.66526205988095921</v>
      </c>
      <c r="I17" s="25">
        <f t="shared" si="1"/>
        <v>0.61122540491593647</v>
      </c>
      <c r="J17" s="11">
        <f t="shared" si="5"/>
        <v>7203.0021846610343</v>
      </c>
      <c r="K17" s="11">
        <f t="shared" si="2"/>
        <v>8274.1968697694301</v>
      </c>
      <c r="L17" s="11">
        <f t="shared" si="2"/>
        <v>9122.539168370351</v>
      </c>
    </row>
    <row r="18" spans="3:12" x14ac:dyDescent="0.25">
      <c r="C18" s="10">
        <v>9</v>
      </c>
      <c r="D18" s="11">
        <f>'NPV Calculations'!D18</f>
        <v>9950</v>
      </c>
      <c r="E18" s="11">
        <f>'NPV Calculations'!E18</f>
        <v>12437.5</v>
      </c>
      <c r="F18" s="11">
        <f>'NPV Calculations'!F18</f>
        <v>14925</v>
      </c>
      <c r="G18" s="25">
        <f t="shared" si="4"/>
        <v>0.69526725190972438</v>
      </c>
      <c r="H18" s="25">
        <f t="shared" si="0"/>
        <v>0.63221799149089153</v>
      </c>
      <c r="I18" s="25">
        <f t="shared" si="1"/>
        <v>0.57474681269537586</v>
      </c>
      <c r="J18" s="11">
        <f t="shared" si="5"/>
        <v>6917.9091565017579</v>
      </c>
      <c r="K18" s="11">
        <f t="shared" si="2"/>
        <v>7863.2112691679631</v>
      </c>
      <c r="L18" s="11">
        <f t="shared" si="2"/>
        <v>8578.0961794784853</v>
      </c>
    </row>
    <row r="19" spans="3:12" x14ac:dyDescent="0.25">
      <c r="C19" s="10">
        <v>10</v>
      </c>
      <c r="D19" s="11">
        <f>'NPV Calculations'!D19</f>
        <v>9950</v>
      </c>
      <c r="E19" s="11">
        <f>'NPV Calculations'!E19</f>
        <v>12437.5</v>
      </c>
      <c r="F19" s="11">
        <f>'NPV Calculations'!F19</f>
        <v>14925</v>
      </c>
      <c r="G19" s="25">
        <f t="shared" si="4"/>
        <v>0.66774874766033965</v>
      </c>
      <c r="H19" s="25">
        <f t="shared" si="0"/>
        <v>0.60081524690630728</v>
      </c>
      <c r="I19" s="25">
        <f t="shared" si="1"/>
        <v>0.54044530225134402</v>
      </c>
      <c r="J19" s="11">
        <f t="shared" si="5"/>
        <v>6644.1000392203796</v>
      </c>
      <c r="K19" s="11">
        <f t="shared" si="2"/>
        <v>7472.639633397197</v>
      </c>
      <c r="L19" s="11">
        <f t="shared" si="2"/>
        <v>8066.1461361013098</v>
      </c>
    </row>
    <row r="20" spans="3:12" x14ac:dyDescent="0.25">
      <c r="C20" s="10">
        <v>11</v>
      </c>
      <c r="D20" s="11">
        <f>'NPV Calculations'!D20</f>
        <v>9950</v>
      </c>
      <c r="E20" s="11">
        <f>'NPV Calculations'!E20</f>
        <v>12437.5</v>
      </c>
      <c r="F20" s="11">
        <f>'NPV Calculations'!F20</f>
        <v>14925</v>
      </c>
      <c r="G20" s="25">
        <f t="shared" si="4"/>
        <v>0.64131941893884481</v>
      </c>
      <c r="H20" s="25">
        <f t="shared" si="0"/>
        <v>0.57097230033556801</v>
      </c>
      <c r="I20" s="25">
        <f t="shared" si="1"/>
        <v>0.50819094299241252</v>
      </c>
      <c r="J20" s="11">
        <f t="shared" si="5"/>
        <v>6381.1282184415059</v>
      </c>
      <c r="K20" s="11">
        <f t="shared" si="2"/>
        <v>7101.4679854236274</v>
      </c>
      <c r="L20" s="11">
        <f t="shared" si="2"/>
        <v>7584.7498241617568</v>
      </c>
    </row>
    <row r="21" spans="3:12" x14ac:dyDescent="0.25">
      <c r="C21" s="10">
        <v>12</v>
      </c>
      <c r="D21" s="11">
        <f>'NPV Calculations'!D21</f>
        <v>9950</v>
      </c>
      <c r="E21" s="11">
        <f>'NPV Calculations'!E21</f>
        <v>12437.5</v>
      </c>
      <c r="F21" s="11">
        <f>'NPV Calculations'!F21</f>
        <v>14925</v>
      </c>
      <c r="G21" s="25">
        <f t="shared" si="4"/>
        <v>0.61593615644977107</v>
      </c>
      <c r="H21" s="25">
        <f t="shared" si="0"/>
        <v>0.54261167543460964</v>
      </c>
      <c r="I21" s="25">
        <f t="shared" si="1"/>
        <v>0.47786155872516012</v>
      </c>
      <c r="J21" s="11">
        <f t="shared" si="5"/>
        <v>6128.5647566752223</v>
      </c>
      <c r="K21" s="11">
        <f t="shared" si="2"/>
        <v>6748.7327132179571</v>
      </c>
      <c r="L21" s="11">
        <f t="shared" si="2"/>
        <v>7132.0837639730144</v>
      </c>
    </row>
    <row r="22" spans="3:12" x14ac:dyDescent="0.25">
      <c r="C22" s="10">
        <v>13</v>
      </c>
      <c r="D22" s="11">
        <f>'NPV Calculations'!D22</f>
        <v>9950</v>
      </c>
      <c r="E22" s="11">
        <f>'NPV Calculations'!E22</f>
        <v>12437.5</v>
      </c>
      <c r="F22" s="11">
        <f>'NPV Calculations'!F22</f>
        <v>14925</v>
      </c>
      <c r="G22" s="25">
        <f t="shared" si="4"/>
        <v>0.59155755715280101</v>
      </c>
      <c r="H22" s="25">
        <f t="shared" si="0"/>
        <v>0.51565974416782623</v>
      </c>
      <c r="I22" s="25">
        <f t="shared" si="1"/>
        <v>0.44934226486332518</v>
      </c>
      <c r="J22" s="11">
        <f t="shared" si="5"/>
        <v>5885.9976936703697</v>
      </c>
      <c r="K22" s="11">
        <f t="shared" si="2"/>
        <v>6413.5180680873391</v>
      </c>
      <c r="L22" s="11">
        <f t="shared" si="2"/>
        <v>6706.4333030851285</v>
      </c>
    </row>
    <row r="23" spans="3:12" x14ac:dyDescent="0.25">
      <c r="C23" s="10">
        <v>14</v>
      </c>
      <c r="D23" s="11">
        <f>'NPV Calculations'!D23</f>
        <v>9950</v>
      </c>
      <c r="E23" s="11">
        <f>'NPV Calculations'!E23</f>
        <v>12437.5</v>
      </c>
      <c r="F23" s="11">
        <f>'NPV Calculations'!F23</f>
        <v>14925</v>
      </c>
      <c r="G23" s="25">
        <f t="shared" si="4"/>
        <v>0.56814385672961665</v>
      </c>
      <c r="H23" s="25">
        <f t="shared" si="0"/>
        <v>0.49004653565968498</v>
      </c>
      <c r="I23" s="25">
        <f t="shared" si="1"/>
        <v>0.42252503325681706</v>
      </c>
      <c r="J23" s="11">
        <f t="shared" si="5"/>
        <v>5653.031374459686</v>
      </c>
      <c r="K23" s="11">
        <f t="shared" si="2"/>
        <v>6094.9537872673318</v>
      </c>
      <c r="L23" s="11">
        <f t="shared" si="2"/>
        <v>6306.186121357995</v>
      </c>
    </row>
    <row r="24" spans="3:12" x14ac:dyDescent="0.25">
      <c r="C24" s="10">
        <v>15</v>
      </c>
      <c r="D24" s="11">
        <f>'NPV Calculations'!D24</f>
        <v>248750</v>
      </c>
      <c r="E24" s="11">
        <f>'NPV Calculations'!E24</f>
        <v>12437.5</v>
      </c>
      <c r="F24" s="11">
        <f>'NPV Calculations'!F24</f>
        <v>14925</v>
      </c>
      <c r="G24" s="25">
        <f t="shared" si="4"/>
        <v>0.54565686472369102</v>
      </c>
      <c r="H24" s="25">
        <f t="shared" si="0"/>
        <v>0.46570555454082802</v>
      </c>
      <c r="I24" s="25">
        <f t="shared" si="1"/>
        <v>0.39730828299220056</v>
      </c>
      <c r="J24" s="11">
        <f t="shared" si="5"/>
        <v>135732.14510001813</v>
      </c>
      <c r="K24" s="11">
        <f t="shared" si="2"/>
        <v>5792.2128346015488</v>
      </c>
      <c r="L24" s="11">
        <f t="shared" si="2"/>
        <v>5929.8261236585931</v>
      </c>
    </row>
    <row r="25" spans="3:12" x14ac:dyDescent="0.25">
      <c r="C25" s="10">
        <v>16</v>
      </c>
      <c r="D25" s="11">
        <f>'NPV Calculations'!D25</f>
        <v>0</v>
      </c>
      <c r="E25" s="11">
        <f>'NPV Calculations'!E25</f>
        <v>12437.5</v>
      </c>
      <c r="F25" s="11">
        <f>'NPV Calculations'!F25</f>
        <v>14925</v>
      </c>
      <c r="G25" s="25">
        <f t="shared" si="4"/>
        <v>0.52405990224723242</v>
      </c>
      <c r="H25" s="25">
        <f t="shared" si="0"/>
        <v>0.442573608317057</v>
      </c>
      <c r="I25" s="25">
        <f t="shared" si="1"/>
        <v>0.37359649561465053</v>
      </c>
      <c r="J25" s="11">
        <f t="shared" si="5"/>
        <v>0</v>
      </c>
      <c r="K25" s="11">
        <f t="shared" si="2"/>
        <v>5504.5092534433961</v>
      </c>
      <c r="L25" s="11">
        <f t="shared" si="2"/>
        <v>5575.927697048659</v>
      </c>
    </row>
    <row r="26" spans="3:12" x14ac:dyDescent="0.25">
      <c r="C26" s="10">
        <v>17</v>
      </c>
      <c r="D26" s="11">
        <f>'NPV Calculations'!D26</f>
        <v>0</v>
      </c>
      <c r="E26" s="11">
        <f>'NPV Calculations'!E26</f>
        <v>12437.5</v>
      </c>
      <c r="F26" s="11">
        <f>'NPV Calculations'!F26</f>
        <v>14925</v>
      </c>
      <c r="G26" s="25">
        <f t="shared" si="4"/>
        <v>0.50331774215367009</v>
      </c>
      <c r="H26" s="25">
        <f t="shared" si="0"/>
        <v>0.42059064331303331</v>
      </c>
      <c r="I26" s="25">
        <f t="shared" si="1"/>
        <v>0.35129985331387498</v>
      </c>
      <c r="J26" s="11">
        <f t="shared" si="5"/>
        <v>0</v>
      </c>
      <c r="K26" s="11">
        <f t="shared" si="2"/>
        <v>5231.0961262058518</v>
      </c>
      <c r="L26" s="11">
        <f t="shared" si="2"/>
        <v>5243.1503107095841</v>
      </c>
    </row>
    <row r="27" spans="3:12" x14ac:dyDescent="0.25">
      <c r="C27" s="10">
        <v>18</v>
      </c>
      <c r="D27" s="11">
        <f>'NPV Calculations'!D27</f>
        <v>0</v>
      </c>
      <c r="E27" s="11">
        <f>'NPV Calculations'!E27</f>
        <v>12437.5</v>
      </c>
      <c r="F27" s="11">
        <f>'NPV Calculations'!F27</f>
        <v>14925</v>
      </c>
      <c r="G27" s="25">
        <f t="shared" si="4"/>
        <v>0.48339655157810013</v>
      </c>
      <c r="H27" s="25">
        <f t="shared" si="0"/>
        <v>0.39969958876477707</v>
      </c>
      <c r="I27" s="25">
        <f t="shared" si="1"/>
        <v>0.33033389870349344</v>
      </c>
      <c r="J27" s="11">
        <f t="shared" si="5"/>
        <v>0</v>
      </c>
      <c r="K27" s="11">
        <f t="shared" si="2"/>
        <v>4971.2636352619147</v>
      </c>
      <c r="L27" s="11">
        <f t="shared" si="2"/>
        <v>4930.2334381496394</v>
      </c>
    </row>
    <row r="28" spans="3:12" x14ac:dyDescent="0.25">
      <c r="C28" s="10">
        <v>19</v>
      </c>
      <c r="D28" s="11">
        <f>'NPV Calculations'!D28</f>
        <v>0</v>
      </c>
      <c r="E28" s="11">
        <f>'NPV Calculations'!E28</f>
        <v>12437.5</v>
      </c>
      <c r="F28" s="11">
        <f>'NPV Calculations'!F28</f>
        <v>14925</v>
      </c>
      <c r="G28" s="25">
        <f t="shared" si="4"/>
        <v>0.46426383675196425</v>
      </c>
      <c r="H28" s="25">
        <f t="shared" si="0"/>
        <v>0.37984620865620972</v>
      </c>
      <c r="I28" s="25">
        <f t="shared" si="1"/>
        <v>0.31061921490514899</v>
      </c>
      <c r="J28" s="11">
        <f t="shared" si="5"/>
        <v>0</v>
      </c>
      <c r="K28" s="11">
        <f t="shared" si="2"/>
        <v>4724.3372201616085</v>
      </c>
      <c r="L28" s="11">
        <f t="shared" si="2"/>
        <v>4635.9917824593485</v>
      </c>
    </row>
    <row r="29" spans="3:12" x14ac:dyDescent="0.25">
      <c r="C29" s="10">
        <v>20</v>
      </c>
      <c r="D29" s="11">
        <f>'NPV Calculations'!D29</f>
        <v>0</v>
      </c>
      <c r="E29" s="11">
        <f>'NPV Calculations'!E29</f>
        <v>12437.5</v>
      </c>
      <c r="F29" s="11">
        <f>'NPV Calculations'!F29</f>
        <v>14925</v>
      </c>
      <c r="G29" s="25">
        <f t="shared" si="4"/>
        <v>0.44588839000195191</v>
      </c>
      <c r="H29" s="25">
        <f t="shared" si="0"/>
        <v>0.36097896091508691</v>
      </c>
      <c r="I29" s="25">
        <f t="shared" si="1"/>
        <v>0.29208112472554659</v>
      </c>
      <c r="J29" s="11">
        <f t="shared" si="5"/>
        <v>0</v>
      </c>
      <c r="K29" s="11">
        <f t="shared" si="2"/>
        <v>4489.6758263813936</v>
      </c>
      <c r="L29" s="11">
        <f t="shared" si="2"/>
        <v>4359.310786528783</v>
      </c>
    </row>
    <row r="30" spans="3:12" x14ac:dyDescent="0.25">
      <c r="C30" s="10">
        <v>21</v>
      </c>
      <c r="D30" s="11">
        <f>'NPV Calculations'!D30</f>
        <v>0</v>
      </c>
      <c r="E30" s="11">
        <f>'NPV Calculations'!E30</f>
        <v>12437.5</v>
      </c>
      <c r="F30" s="11">
        <f>'NPV Calculations'!F30</f>
        <v>14925</v>
      </c>
      <c r="G30" s="25">
        <f t="shared" si="4"/>
        <v>0.42824023884667034</v>
      </c>
      <c r="H30" s="25">
        <f t="shared" si="0"/>
        <v>0.34304886360277648</v>
      </c>
      <c r="I30" s="25">
        <f t="shared" si="1"/>
        <v>0.27464940778692992</v>
      </c>
      <c r="J30" s="11">
        <f t="shared" si="5"/>
        <v>0</v>
      </c>
      <c r="K30" s="11">
        <f t="shared" si="2"/>
        <v>4266.6702410595326</v>
      </c>
      <c r="L30" s="11">
        <f t="shared" si="2"/>
        <v>4099.1424112199293</v>
      </c>
    </row>
    <row r="31" spans="3:12" x14ac:dyDescent="0.25">
      <c r="C31" s="10">
        <v>22</v>
      </c>
      <c r="D31" s="11">
        <f>'NPV Calculations'!D31</f>
        <v>0</v>
      </c>
      <c r="E31" s="11">
        <f>'NPV Calculations'!E31</f>
        <v>12437.5</v>
      </c>
      <c r="F31" s="11">
        <f>'NPV Calculations'!F31</f>
        <v>14925</v>
      </c>
      <c r="G31" s="25">
        <f t="shared" si="4"/>
        <v>0.41129059710805771</v>
      </c>
      <c r="H31" s="25">
        <f t="shared" si="0"/>
        <v>0.32600936775049</v>
      </c>
      <c r="I31" s="25">
        <f t="shared" si="1"/>
        <v>0.25825803453951751</v>
      </c>
      <c r="J31" s="11">
        <f t="shared" si="5"/>
        <v>0</v>
      </c>
      <c r="K31" s="11">
        <f t="shared" si="2"/>
        <v>4054.7415113967195</v>
      </c>
      <c r="L31" s="11">
        <f t="shared" si="2"/>
        <v>3854.501165502299</v>
      </c>
    </row>
    <row r="32" spans="3:12" x14ac:dyDescent="0.25">
      <c r="C32" s="10">
        <v>23</v>
      </c>
      <c r="D32" s="11">
        <f>'NPV Calculations'!D32</f>
        <v>0</v>
      </c>
      <c r="E32" s="11">
        <f>'NPV Calculations'!E32</f>
        <v>12437.5</v>
      </c>
      <c r="F32" s="11">
        <f>'NPV Calculations'!F32</f>
        <v>14925</v>
      </c>
      <c r="G32" s="25">
        <f t="shared" si="4"/>
        <v>0.39501181795779267</v>
      </c>
      <c r="H32" s="25">
        <f t="shared" si="0"/>
        <v>0.30981623651183571</v>
      </c>
      <c r="I32" s="25">
        <f t="shared" si="1"/>
        <v>0.24284491614836326</v>
      </c>
      <c r="J32" s="11">
        <f t="shared" si="5"/>
        <v>0</v>
      </c>
      <c r="K32" s="11">
        <f t="shared" si="2"/>
        <v>3853.3394416159567</v>
      </c>
      <c r="L32" s="11">
        <f t="shared" si="2"/>
        <v>3624.4603735143219</v>
      </c>
    </row>
    <row r="33" spans="3:12" x14ac:dyDescent="0.25">
      <c r="C33" s="10">
        <v>24</v>
      </c>
      <c r="D33" s="11">
        <f>'NPV Calculations'!D33</f>
        <v>0</v>
      </c>
      <c r="E33" s="11">
        <f>'NPV Calculations'!E33</f>
        <v>12437.5</v>
      </c>
      <c r="F33" s="11">
        <f>'NPV Calculations'!F33</f>
        <v>14925</v>
      </c>
      <c r="G33" s="25">
        <f t="shared" si="4"/>
        <v>0.37937734882211693</v>
      </c>
      <c r="H33" s="25">
        <f t="shared" si="0"/>
        <v>0.29442743031795415</v>
      </c>
      <c r="I33" s="25">
        <f t="shared" si="1"/>
        <v>0.22835166930723966</v>
      </c>
      <c r="J33" s="11">
        <f t="shared" si="5"/>
        <v>0</v>
      </c>
      <c r="K33" s="11">
        <f t="shared" si="2"/>
        <v>3661.9411645795549</v>
      </c>
      <c r="L33" s="11">
        <f t="shared" si="2"/>
        <v>3408.1486644105521</v>
      </c>
    </row>
    <row r="34" spans="3:12" x14ac:dyDescent="0.25">
      <c r="C34" s="10">
        <v>25</v>
      </c>
      <c r="D34" s="11">
        <f>'NPV Calculations'!D34</f>
        <v>0</v>
      </c>
      <c r="E34" s="11">
        <f>'NPV Calculations'!E34</f>
        <v>248750</v>
      </c>
      <c r="F34" s="11">
        <f>'NPV Calculations'!F34</f>
        <v>14925</v>
      </c>
      <c r="G34" s="25">
        <f t="shared" si="4"/>
        <v>0.36436168807151209</v>
      </c>
      <c r="H34" s="25">
        <f t="shared" si="0"/>
        <v>0.27980299773708628</v>
      </c>
      <c r="I34" s="25">
        <f t="shared" si="1"/>
        <v>0.21472339508868238</v>
      </c>
      <c r="J34" s="11">
        <f t="shared" si="5"/>
        <v>0</v>
      </c>
      <c r="K34" s="11">
        <f t="shared" si="2"/>
        <v>69600.995687100207</v>
      </c>
      <c r="L34" s="11">
        <f t="shared" si="2"/>
        <v>3204.7466716985846</v>
      </c>
    </row>
    <row r="35" spans="3:12" x14ac:dyDescent="0.25">
      <c r="C35" s="10">
        <v>26</v>
      </c>
      <c r="D35" s="11">
        <f>'NPV Calculations'!D35</f>
        <v>0</v>
      </c>
      <c r="E35" s="11">
        <f>'NPV Calculations'!E35</f>
        <v>0</v>
      </c>
      <c r="F35" s="11">
        <f>'NPV Calculations'!F35</f>
        <v>14925</v>
      </c>
      <c r="G35" s="25">
        <f t="shared" si="4"/>
        <v>0.34994034342458946</v>
      </c>
      <c r="H35" s="25">
        <f t="shared" si="0"/>
        <v>0.26590497175522787</v>
      </c>
      <c r="I35" s="25">
        <f t="shared" si="1"/>
        <v>0.2019084709925027</v>
      </c>
      <c r="J35" s="11">
        <f t="shared" si="5"/>
        <v>0</v>
      </c>
      <c r="K35" s="11">
        <f t="shared" si="2"/>
        <v>0</v>
      </c>
      <c r="L35" s="11">
        <f t="shared" si="2"/>
        <v>3013.4839295631027</v>
      </c>
    </row>
    <row r="36" spans="3:12" x14ac:dyDescent="0.25">
      <c r="C36" s="10">
        <v>27</v>
      </c>
      <c r="D36" s="11">
        <f>'NPV Calculations'!D36</f>
        <v>0</v>
      </c>
      <c r="E36" s="11">
        <f>'NPV Calculations'!E36</f>
        <v>0</v>
      </c>
      <c r="F36" s="11">
        <f>'NPV Calculations'!F36</f>
        <v>14925</v>
      </c>
      <c r="G36" s="25">
        <f t="shared" si="4"/>
        <v>0.33608979199834299</v>
      </c>
      <c r="H36" s="25">
        <f t="shared" si="0"/>
        <v>0.25269727120860269</v>
      </c>
      <c r="I36" s="25">
        <f t="shared" si="1"/>
        <v>0.18985835540506998</v>
      </c>
      <c r="J36" s="11">
        <f t="shared" si="5"/>
        <v>0</v>
      </c>
      <c r="K36" s="11">
        <f t="shared" si="2"/>
        <v>0</v>
      </c>
      <c r="L36" s="11">
        <f t="shared" si="2"/>
        <v>2833.6359544206693</v>
      </c>
    </row>
    <row r="37" spans="3:12" x14ac:dyDescent="0.25">
      <c r="C37" s="10">
        <v>28</v>
      </c>
      <c r="D37" s="11">
        <f>'NPV Calculations'!D37</f>
        <v>0</v>
      </c>
      <c r="E37" s="11">
        <f>'NPV Calculations'!E37</f>
        <v>0</v>
      </c>
      <c r="F37" s="11">
        <f>'NPV Calculations'!F37</f>
        <v>14925</v>
      </c>
      <c r="G37" s="25">
        <f t="shared" si="4"/>
        <v>0.32278744193960307</v>
      </c>
      <c r="H37" s="25">
        <f t="shared" si="0"/>
        <v>0.24014560711205896</v>
      </c>
      <c r="I37" s="25">
        <f t="shared" si="1"/>
        <v>0.17852740372867434</v>
      </c>
      <c r="J37" s="11">
        <f t="shared" si="5"/>
        <v>0</v>
      </c>
      <c r="K37" s="11">
        <f t="shared" si="2"/>
        <v>0</v>
      </c>
      <c r="L37" s="11">
        <f t="shared" si="2"/>
        <v>2664.5215006504645</v>
      </c>
    </row>
    <row r="38" spans="3:12" x14ac:dyDescent="0.25">
      <c r="C38" s="10">
        <v>29</v>
      </c>
      <c r="D38" s="11">
        <f>'NPV Calculations'!D38</f>
        <v>0</v>
      </c>
      <c r="E38" s="11">
        <f>'NPV Calculations'!E38</f>
        <v>0</v>
      </c>
      <c r="F38" s="11">
        <f>'NPV Calculations'!F38</f>
        <v>14925</v>
      </c>
      <c r="G38" s="25">
        <f t="shared" si="4"/>
        <v>0.31001159557510849</v>
      </c>
      <c r="H38" s="25">
        <f t="shared" si="0"/>
        <v>0.2282173936402053</v>
      </c>
      <c r="I38" s="25">
        <f t="shared" si="1"/>
        <v>0.16787269548448841</v>
      </c>
      <c r="J38" s="11">
        <f t="shared" si="5"/>
        <v>0</v>
      </c>
      <c r="K38" s="11">
        <f t="shared" si="2"/>
        <v>0</v>
      </c>
      <c r="L38" s="11">
        <f t="shared" si="2"/>
        <v>2505.4999801059894</v>
      </c>
    </row>
    <row r="39" spans="3:12" x14ac:dyDescent="0.25">
      <c r="C39" s="10">
        <v>30</v>
      </c>
      <c r="D39" s="11">
        <f>'NPV Calculations'!D39</f>
        <v>0</v>
      </c>
      <c r="E39" s="11">
        <f>'NPV Calculations'!E39</f>
        <v>0</v>
      </c>
      <c r="F39" s="11">
        <f>'NPV Calculations'!F39</f>
        <v>14925</v>
      </c>
      <c r="G39" s="25">
        <f t="shared" si="4"/>
        <v>0.29774141402008852</v>
      </c>
      <c r="H39" s="25">
        <f t="shared" si="0"/>
        <v>0.21688166353018012</v>
      </c>
      <c r="I39" s="25">
        <f t="shared" si="1"/>
        <v>0.1578538717342105</v>
      </c>
      <c r="J39" s="11">
        <f t="shared" si="5"/>
        <v>0</v>
      </c>
      <c r="K39" s="11">
        <f t="shared" si="2"/>
        <v>0</v>
      </c>
      <c r="L39" s="11">
        <f t="shared" si="2"/>
        <v>2355.9690356330916</v>
      </c>
    </row>
    <row r="40" spans="3:12" x14ac:dyDescent="0.25">
      <c r="C40" s="10">
        <v>31</v>
      </c>
      <c r="D40" s="11">
        <f>'NPV Calculations'!D40</f>
        <v>0</v>
      </c>
      <c r="E40" s="11">
        <f>'NPV Calculations'!E40</f>
        <v>0</v>
      </c>
      <c r="F40" s="11">
        <f>'NPV Calculations'!F40</f>
        <v>14925</v>
      </c>
      <c r="G40" s="25">
        <f t="shared" si="4"/>
        <v>0.28595688318762885</v>
      </c>
      <c r="H40" s="25">
        <f t="shared" si="0"/>
        <v>0.20610898768643027</v>
      </c>
      <c r="I40" s="25">
        <f t="shared" si="1"/>
        <v>0.14843298220455997</v>
      </c>
      <c r="J40" s="11">
        <f t="shared" si="5"/>
        <v>0</v>
      </c>
      <c r="K40" s="11">
        <f t="shared" si="2"/>
        <v>0</v>
      </c>
      <c r="L40" s="11">
        <f t="shared" si="2"/>
        <v>2215.3622594030576</v>
      </c>
    </row>
    <row r="41" spans="3:12" x14ac:dyDescent="0.25">
      <c r="C41" s="10">
        <v>32</v>
      </c>
      <c r="D41" s="11">
        <f>'NPV Calculations'!D41</f>
        <v>0</v>
      </c>
      <c r="E41" s="11">
        <f>'NPV Calculations'!E41</f>
        <v>0</v>
      </c>
      <c r="F41" s="11">
        <f>'NPV Calculations'!F41</f>
        <v>14925</v>
      </c>
      <c r="G41" s="25">
        <f t="shared" si="4"/>
        <v>0.27463878114337881</v>
      </c>
      <c r="H41" s="25">
        <f t="shared" si="0"/>
        <v>0.19587139877877977</v>
      </c>
      <c r="I41" s="25">
        <f t="shared" si="1"/>
        <v>0.1395743415355476</v>
      </c>
      <c r="J41" s="11">
        <f t="shared" si="5"/>
        <v>0</v>
      </c>
      <c r="K41" s="11">
        <f t="shared" si="2"/>
        <v>0</v>
      </c>
      <c r="L41" s="11">
        <f t="shared" si="2"/>
        <v>2083.1470474180478</v>
      </c>
    </row>
    <row r="42" spans="3:12" x14ac:dyDescent="0.25">
      <c r="C42" s="10">
        <v>33</v>
      </c>
      <c r="D42" s="11">
        <f>'NPV Calculations'!D42</f>
        <v>0</v>
      </c>
      <c r="E42" s="11">
        <f>'NPV Calculations'!E42</f>
        <v>0</v>
      </c>
      <c r="F42" s="11">
        <f>'NPV Calculations'!F42</f>
        <v>14925</v>
      </c>
      <c r="G42" s="25">
        <f t="shared" si="4"/>
        <v>0.26376864675235012</v>
      </c>
      <c r="H42" s="25">
        <f t="shared" si="0"/>
        <v>0.1861423186354414</v>
      </c>
      <c r="I42" s="25">
        <f t="shared" si="1"/>
        <v>0.13124439410800448</v>
      </c>
      <c r="J42" s="11">
        <f t="shared" si="5"/>
        <v>0</v>
      </c>
      <c r="K42" s="11">
        <f t="shared" si="2"/>
        <v>0</v>
      </c>
      <c r="L42" s="11">
        <f t="shared" si="2"/>
        <v>1958.8225820619668</v>
      </c>
    </row>
    <row r="43" spans="3:12" x14ac:dyDescent="0.25">
      <c r="C43" s="10">
        <v>34</v>
      </c>
      <c r="D43" s="11">
        <f>'NPV Calculations'!D43</f>
        <v>0</v>
      </c>
      <c r="E43" s="11">
        <f>'NPV Calculations'!E43</f>
        <v>0</v>
      </c>
      <c r="F43" s="11">
        <f>'NPV Calculations'!F43</f>
        <v>14925</v>
      </c>
      <c r="G43" s="25">
        <f t="shared" si="4"/>
        <v>0.2533287495666684</v>
      </c>
      <c r="H43" s="25">
        <f t="shared" si="0"/>
        <v>0.1768964892424712</v>
      </c>
      <c r="I43" s="25">
        <f t="shared" si="1"/>
        <v>0.12341158693835008</v>
      </c>
      <c r="J43" s="11">
        <f t="shared" si="5"/>
        <v>0</v>
      </c>
      <c r="K43" s="11">
        <f t="shared" si="2"/>
        <v>0</v>
      </c>
      <c r="L43" s="11">
        <f t="shared" si="2"/>
        <v>1841.917935054875</v>
      </c>
    </row>
    <row r="44" spans="3:12" x14ac:dyDescent="0.25">
      <c r="C44" s="10">
        <v>35</v>
      </c>
      <c r="D44" s="11">
        <f>'NPV Calculations'!D44</f>
        <v>0</v>
      </c>
      <c r="E44" s="11">
        <f>'NPV Calculations'!E44</f>
        <v>0</v>
      </c>
      <c r="F44" s="11">
        <f>'NPV Calculations'!F44</f>
        <v>248750</v>
      </c>
      <c r="G44" s="25">
        <f t="shared" si="4"/>
        <v>0.24330206090515949</v>
      </c>
      <c r="H44" s="25">
        <f t="shared" si="0"/>
        <v>0.16810990717053242</v>
      </c>
      <c r="I44" s="25">
        <f t="shared" si="1"/>
        <v>0.11604625015913768</v>
      </c>
      <c r="J44" s="11">
        <f t="shared" si="5"/>
        <v>0</v>
      </c>
      <c r="K44" s="11">
        <f t="shared" si="2"/>
        <v>0</v>
      </c>
      <c r="L44" s="11">
        <f t="shared" si="2"/>
        <v>28866.504727085499</v>
      </c>
    </row>
    <row r="46" spans="3:12" x14ac:dyDescent="0.25">
      <c r="C46" s="7" t="s">
        <v>39</v>
      </c>
      <c r="D46" s="11">
        <f>SUM(D9:D44)</f>
        <v>398050</v>
      </c>
      <c r="E46" s="11">
        <f>SUM(E9:E44)</f>
        <v>559750</v>
      </c>
      <c r="F46" s="11">
        <f>SUM(F9:F44)</f>
        <v>771200</v>
      </c>
    </row>
    <row r="47" spans="3:12" x14ac:dyDescent="0.25">
      <c r="D47" s="18" t="str">
        <f>IF(D46='NPV Calculations'!D46,"OK","Check")</f>
        <v>OK</v>
      </c>
      <c r="E47" s="18" t="str">
        <f>IF(E46='NPV Calculations'!E46,"OK","Check")</f>
        <v>OK</v>
      </c>
      <c r="F47" s="18" t="str">
        <f>IF(F46='NPV Calculations'!F46,"OK","Check")</f>
        <v>OK</v>
      </c>
    </row>
  </sheetData>
  <mergeCells count="5">
    <mergeCell ref="D8:F8"/>
    <mergeCell ref="G8:I8"/>
    <mergeCell ref="J8:L8"/>
    <mergeCell ref="M8:O8"/>
    <mergeCell ref="Q8:S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9"/>
  <sheetViews>
    <sheetView tabSelected="1" zoomScale="85" zoomScaleNormal="85" workbookViewId="0">
      <selection activeCell="D16" sqref="D16"/>
    </sheetView>
  </sheetViews>
  <sheetFormatPr defaultRowHeight="15" x14ac:dyDescent="0.25"/>
  <cols>
    <col min="3" max="3" width="14" customWidth="1"/>
    <col min="5" max="5" width="13.140625" bestFit="1" customWidth="1"/>
  </cols>
  <sheetData>
    <row r="4" spans="3:7" x14ac:dyDescent="0.25">
      <c r="C4" s="27" t="s">
        <v>73</v>
      </c>
    </row>
    <row r="7" spans="3:7" x14ac:dyDescent="0.25">
      <c r="D7" s="29" t="s">
        <v>43</v>
      </c>
      <c r="E7" s="29" t="s">
        <v>74</v>
      </c>
      <c r="F7" s="29" t="s">
        <v>82</v>
      </c>
      <c r="G7" s="29" t="s">
        <v>72</v>
      </c>
    </row>
    <row r="8" spans="3:7" x14ac:dyDescent="0.25">
      <c r="C8" s="28" t="s">
        <v>46</v>
      </c>
      <c r="D8" s="30">
        <f>term_A</f>
        <v>15</v>
      </c>
      <c r="E8" s="31">
        <f>int_A</f>
        <v>0.04</v>
      </c>
      <c r="F8" s="32">
        <f>ROUND('NPV Calculations'!$M$9,-3)</f>
        <v>32000</v>
      </c>
      <c r="G8" s="33">
        <f>'IRR Calculations'!$M$3</f>
        <v>4.1210866131616494E-2</v>
      </c>
    </row>
    <row r="9" spans="3:7" x14ac:dyDescent="0.25">
      <c r="C9" s="28" t="s">
        <v>47</v>
      </c>
      <c r="D9" s="30">
        <f>term_B</f>
        <v>25</v>
      </c>
      <c r="E9" s="31">
        <f>int_B</f>
        <v>0.05</v>
      </c>
      <c r="F9" s="32">
        <f>ROUND('NPV Calculations'!$N$9,-3)</f>
        <v>67000</v>
      </c>
      <c r="G9" s="33">
        <f>'IRR Calculations'!$N$3</f>
        <v>5.226689027331119E-2</v>
      </c>
    </row>
    <row r="10" spans="3:7" x14ac:dyDescent="0.25">
      <c r="C10" s="28" t="s">
        <v>48</v>
      </c>
      <c r="D10" s="30">
        <f>term_C</f>
        <v>35</v>
      </c>
      <c r="E10" s="31">
        <f>int_C</f>
        <v>0.06</v>
      </c>
      <c r="F10" s="32">
        <f>ROUND('NPV Calculations'!$O$9,-3)</f>
        <v>103000</v>
      </c>
      <c r="G10" s="33">
        <f>'IRR Calculations'!O3</f>
        <v>6.34689769735092E-2</v>
      </c>
    </row>
    <row r="16" spans="3:7" x14ac:dyDescent="0.25">
      <c r="D16" s="23" t="s">
        <v>82</v>
      </c>
    </row>
    <row r="17" spans="3:4" x14ac:dyDescent="0.25">
      <c r="C17" s="7" t="s">
        <v>46</v>
      </c>
      <c r="D17" s="11">
        <f>'NPV Calculations'!$M$9</f>
        <v>32059.087151758198</v>
      </c>
    </row>
    <row r="18" spans="3:4" x14ac:dyDescent="0.25">
      <c r="C18" s="7" t="s">
        <v>47</v>
      </c>
      <c r="D18" s="11">
        <f>'NPV Calculations'!$N$9</f>
        <v>67483.760643422254</v>
      </c>
    </row>
    <row r="19" spans="3:4" x14ac:dyDescent="0.25">
      <c r="C19" s="7" t="s">
        <v>48</v>
      </c>
      <c r="D19" s="11">
        <f>'NPV Calculations'!$O$9</f>
        <v>102824.22492768813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Data</vt:lpstr>
      <vt:lpstr>Data Statistics</vt:lpstr>
      <vt:lpstr>Parameters</vt:lpstr>
      <vt:lpstr>NPV Calculations</vt:lpstr>
      <vt:lpstr>IRR Calculations</vt:lpstr>
      <vt:lpstr>Results</vt:lpstr>
      <vt:lpstr>disc_A</vt:lpstr>
      <vt:lpstr>disc_B</vt:lpstr>
      <vt:lpstr>disc_c</vt:lpstr>
      <vt:lpstr>int_A</vt:lpstr>
      <vt:lpstr>int_B</vt:lpstr>
      <vt:lpstr>int_C</vt:lpstr>
      <vt:lpstr>loan_A</vt:lpstr>
      <vt:lpstr>loan_B</vt:lpstr>
      <vt:lpstr>loan_c</vt:lpstr>
      <vt:lpstr>prob_default</vt:lpstr>
      <vt:lpstr>term_A</vt:lpstr>
      <vt:lpstr>term_B</vt:lpstr>
      <vt:lpstr>term_C</vt:lpstr>
    </vt:vector>
  </TitlesOfParts>
  <Company>Standard Life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Williamson</dc:creator>
  <cp:lastModifiedBy>Claire Williamson</cp:lastModifiedBy>
  <dcterms:created xsi:type="dcterms:W3CDTF">2019-08-14T08:19:16Z</dcterms:created>
  <dcterms:modified xsi:type="dcterms:W3CDTF">2019-09-04T14:14:26Z</dcterms:modified>
</cp:coreProperties>
</file>